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6915" tabRatio="689" activeTab="0"/>
  </bookViews>
  <sheets>
    <sheet name="Důchodová a věková kalkulačka" sheetId="1" r:id="rId1"/>
    <sheet name="Základní varianta - podrobnosti" sheetId="2" r:id="rId2"/>
    <sheet name="Důchodový věk" sheetId="3" state="hidden" r:id="rId3"/>
    <sheet name="Minimalistická varianta" sheetId="4" r:id="rId4"/>
    <sheet name="Střední varianta" sheetId="5" r:id="rId5"/>
    <sheet name="Optimistická varianta" sheetId="6" r:id="rId6"/>
  </sheets>
  <definedNames>
    <definedName name="celkemprocvym">'Důchodová a věková kalkulačka'!$I$48</definedName>
    <definedName name="datprizn">'Důchodová a věková kalkulačka'!$L$13</definedName>
    <definedName name="dennar">'Důchodová a věková kalkulačka'!$R$22</definedName>
    <definedName name="deti">'Důchodová a věková kalkulačka'!$L$11</definedName>
    <definedName name="dnyponaroku">'Důchodová a věková kalkulačka'!$L$19</definedName>
    <definedName name="dnyvrozh">'Základní varianta - podrobnosti'!$W$12</definedName>
    <definedName name="doba1">'Důchodová a věková kalkulačka'!$F$38</definedName>
    <definedName name="doba2">'Důchodová a věková kalkulačka'!$F$40</definedName>
    <definedName name="doba3">'Důchodová a věková kalkulačka'!$F$42</definedName>
    <definedName name="doba4">'Důchodová a věková kalkulačka'!$F$44</definedName>
    <definedName name="chyboveHlasky">'Důchodový věk'!#REF!</definedName>
    <definedName name="chyby">'Důchodová a věková kalkulačka'!#REF!</definedName>
    <definedName name="mesicnaroku">'Důchodová a věková kalkulačka'!$O$22</definedName>
    <definedName name="minpoclet">'Důchodová a věková kalkulačka'!$L$28</definedName>
    <definedName name="MTC">'Důchodová a věková kalkulačka'!$F$10:$M$57</definedName>
    <definedName name="muzi">'Důchodový věk'!$A$4:$C$40</definedName>
    <definedName name="narokpredc">'Důchodová a věková kalkulačka'!$O$28</definedName>
    <definedName name="narokpredczobr">'Důchodová a věková kalkulačka'!$L$24</definedName>
    <definedName name="narokst">'Důchodová a věková kalkulačka'!$L$22</definedName>
    <definedName name="narozeni">'Důchodová a věková kalkulačka'!$L$7</definedName>
    <definedName name="narpredc">'Důchodová a věková kalkulačka'!$O$24</definedName>
    <definedName name="_xlnm.Print_Area" localSheetId="0">'Důchodová a věková kalkulačka'!$A$1:$M$98</definedName>
    <definedName name="_xlnm.Print_Area" localSheetId="1">'Základní varianta - podrobnosti'!$A$1:$P$62</definedName>
    <definedName name="ovz">'Základní varianta - podrobnosti'!$W$14</definedName>
    <definedName name="ovzmin">'Minimalistická varianta'!$T$14</definedName>
    <definedName name="ovzopt">'Optimistická varianta'!$T$14</definedName>
    <definedName name="ovzstr">'Střední varianta'!$T$14</definedName>
    <definedName name="poclet">'Důchodová a věková kalkulačka'!$L$17</definedName>
    <definedName name="pohlavi">'Důchodová a věková kalkulačka'!$L$9</definedName>
    <definedName name="pred23">'Důchodová a věková kalkulačka'!$E$95</definedName>
    <definedName name="pred24">'Důchodová a věková kalkulačka'!$E$96</definedName>
    <definedName name="pred25">'Důchodová a věková kalkulačka'!$E$97</definedName>
    <definedName name="pred26">'Důchodová a věková kalkulačka'!$E$98</definedName>
    <definedName name="pred27">'Důchodová a věková kalkulačka'!$E$99</definedName>
    <definedName name="pred28">'Důchodová a věková kalkulačka'!$E$100</definedName>
    <definedName name="pred29">'Důchodová a věková kalkulačka'!$E$101</definedName>
    <definedName name="pred30">'Důchodová a věková kalkulačka'!$E$102</definedName>
    <definedName name="predodch">'Důchodová a věková kalkulačka'!$C$46</definedName>
    <definedName name="proc1">'Základní varianta - podrobnosti'!$U$16</definedName>
    <definedName name="proc2">'Základní varianta - podrobnosti'!$V$16</definedName>
    <definedName name="procvym1">'Důchodová a věková kalkulačka'!$M$17</definedName>
    <definedName name="procvym2">'Důchodová a věková kalkulačka'!$L$38</definedName>
    <definedName name="procvym3">'Důchodová a věková kalkulačka'!$L$46</definedName>
    <definedName name="rok1986">'Důchodová a věková kalkulačka'!$B$58</definedName>
    <definedName name="rok1987">'Důchodová a věková kalkulačka'!$B$59</definedName>
    <definedName name="rok1988">'Důchodová a věková kalkulačka'!$B$60</definedName>
    <definedName name="rok1989">'Důchodová a věková kalkulačka'!$B$61</definedName>
    <definedName name="rok1990">'Důchodová a věková kalkulačka'!$B$62</definedName>
    <definedName name="rok1991">'Důchodová a věková kalkulačka'!$B$63</definedName>
    <definedName name="rok1992">'Důchodová a věková kalkulačka'!$B$64</definedName>
    <definedName name="rok1993">'Důchodová a věková kalkulačka'!$B$65</definedName>
    <definedName name="rok1994">'Důchodová a věková kalkulačka'!$B$66</definedName>
    <definedName name="rok1995">'Důchodová a věková kalkulačka'!$B$67</definedName>
    <definedName name="rok1996">'Důchodová a věková kalkulačka'!$B$68</definedName>
    <definedName name="rok1997">'Důchodová a věková kalkulačka'!$B$69</definedName>
    <definedName name="rok1998">'Důchodová a věková kalkulačka'!$B$70</definedName>
    <definedName name="rok1999">'Důchodová a věková kalkulačka'!$B$71</definedName>
    <definedName name="rok2000">'Důchodová a věková kalkulačka'!$B$72</definedName>
    <definedName name="rok2001">'Důchodová a věková kalkulačka'!$B$73</definedName>
    <definedName name="rok2002">'Důchodová a věková kalkulačka'!$B$74</definedName>
    <definedName name="rok2003">'Důchodová a věková kalkulačka'!$B$75</definedName>
    <definedName name="rok2004">'Důchodová a věková kalkulačka'!$B$76</definedName>
    <definedName name="rok2005">'Důchodová a věková kalkulačka'!$B$77</definedName>
    <definedName name="rok2006">'Důchodová a věková kalkulačka'!$B$78</definedName>
    <definedName name="rok2007">'Důchodová a věková kalkulačka'!$B$79</definedName>
    <definedName name="rok2008">'Důchodová a věková kalkulačka'!$B$80</definedName>
    <definedName name="rok2009">'Důchodová a věková kalkulačka'!$B$81</definedName>
    <definedName name="rok2010">'Důchodová a věková kalkulačka'!$B$82</definedName>
    <definedName name="rok2011">'Důchodová a věková kalkulačka'!$B$83</definedName>
    <definedName name="rok2012">'Důchodová a věková kalkulačka'!$B$84</definedName>
    <definedName name="rok2013">'Důchodová a věková kalkulačka'!$B$85</definedName>
    <definedName name="rok2014">'Důchodová a věková kalkulačka'!$B$86</definedName>
    <definedName name="rok2015">'Důchodová a věková kalkulačka'!$B$87</definedName>
    <definedName name="rok2016">'Důchodová a věková kalkulačka'!$B$88</definedName>
    <definedName name="rok2017">'Důchodová a věková kalkulačka'!$B$89</definedName>
    <definedName name="rok2018">'Důchodová a věková kalkulačka'!$B$90</definedName>
    <definedName name="rok2019">'Důchodová a věková kalkulačka'!$B$91</definedName>
    <definedName name="rok2020">'Důchodová a věková kalkulačka'!$B$92</definedName>
    <definedName name="rok2021">'Důchodová a věková kalkulačka'!$B$93</definedName>
    <definedName name="rok2022">'Důchodová a věková kalkulačka'!$B$94</definedName>
    <definedName name="rok2023">'Důchodová a věková kalkulačka'!$B$95</definedName>
    <definedName name="rok2024">'Důchodová a věková kalkulačka'!$B$96</definedName>
    <definedName name="rok2025">'Důchodová a věková kalkulačka'!$B$97</definedName>
    <definedName name="rok2026">'Důchodová a věková kalkulačka'!$B$98</definedName>
    <definedName name="rok2027">'Důchodová a věková kalkulačka'!$B$99</definedName>
    <definedName name="rok2028">'Důchodová a věková kalkulačka'!$B$100</definedName>
    <definedName name="rok2029">'Důchodová a věková kalkulačka'!$B$101</definedName>
    <definedName name="rozdil">'Důchodová a věková kalkulačka'!#REF!</definedName>
    <definedName name="RP">#REF!</definedName>
    <definedName name="rrr">'Důchodová a věková kalkulačka'!$F$10:$M$57</definedName>
    <definedName name="skutpoclet">'Základní varianta - podrobnosti'!$I$10</definedName>
    <definedName name="souhrnvyloudob">'Základní varianta - podrobnosti'!$W$10</definedName>
    <definedName name="text2022">'Důchodová a věková kalkulačka'!$F$65</definedName>
    <definedName name="textOd2023">'Důchodová a věková kalkulačka'!$F$72</definedName>
    <definedName name="textOd202306">'Důchodová a věková kalkulačka'!$F$78</definedName>
    <definedName name="uhrnvymerzakl">'Základní varianta - podrobnosti'!$W$8</definedName>
    <definedName name="USS">'Základní varianta - podrobnosti'!$T$22</definedName>
    <definedName name="uzpred23">'Důchodová a věková kalkulačka'!$G$95</definedName>
    <definedName name="uzpred24">'Důchodová a věková kalkulačka'!$G$96</definedName>
    <definedName name="uzpred25">'Důchodová a věková kalkulačka'!$G$97</definedName>
    <definedName name="uzpred26">'Důchodová a věková kalkulačka'!$G$98</definedName>
    <definedName name="uzpred27">'Důchodová a věková kalkulačka'!$G$99</definedName>
    <definedName name="uzpred28">'Důchodová a věková kalkulačka'!$G$100</definedName>
    <definedName name="uzpred29">'Důchodová a věková kalkulačka'!$G$101</definedName>
    <definedName name="uzpred30">'Důchodová a věková kalkulačka'!$G$102</definedName>
    <definedName name="vyberpohlavi">'Základní varianta - podrobnosti'!$AA$8:$AA$9</definedName>
    <definedName name="vypocetzaklstr">'Střední varianta'!$T$16</definedName>
    <definedName name="vypoctzakl">'Základní varianta - podrobnosti'!$W$16</definedName>
    <definedName name="vypoctzaklmin">'Minimalistická varianta'!$T$16</definedName>
    <definedName name="vypoctzaklopt">'Optimistická varianta'!$T$16</definedName>
    <definedName name="Z_20D20EF5_FEE6_478A_AFEB_3D4FE26A3B3E_.wvu.PrintArea" localSheetId="0" hidden="1">'Důchodová a věková kalkulačka'!$A$1:$M$93</definedName>
    <definedName name="Z_20D20EF5_FEE6_478A_AFEB_3D4FE26A3B3E_.wvu.PrintArea" localSheetId="1" hidden="1">'Základní varianta - podrobnosti'!$A$1:$P$62</definedName>
    <definedName name="Z_20D20EF5_FEE6_478A_AFEB_3D4FE26A3B3E_.wvu.Rows" localSheetId="0" hidden="1">'Důchodová a věková kalkulačka'!$14:$15,'Důchodová a věková kalkulačka'!$30:$51</definedName>
    <definedName name="Z_20D20EF5_FEE6_478A_AFEB_3D4FE26A3B3E_.wvu.Rows" localSheetId="1" hidden="1">'Základní varianta - podrobnosti'!#REF!</definedName>
    <definedName name="zaklvymera">'Důchodová a věková kalkulačka'!$L$58</definedName>
    <definedName name="zeny">'Důchodový věk'!$A$5:$M$40</definedName>
  </definedNames>
  <calcPr fullCalcOnLoad="1"/>
</workbook>
</file>

<file path=xl/sharedStrings.xml><?xml version="1.0" encoding="utf-8"?>
<sst xmlns="http://schemas.openxmlformats.org/spreadsheetml/2006/main" count="342" uniqueCount="116">
  <si>
    <t>Vaše datum narození:</t>
  </si>
  <si>
    <t>Počet vychovaných dětí:</t>
  </si>
  <si>
    <t>Důchodový věk pojištěnců</t>
  </si>
  <si>
    <t>rok narození</t>
  </si>
  <si>
    <t>muži</t>
  </si>
  <si>
    <t>ženy (podle počtu vychovaných dětí)</t>
  </si>
  <si>
    <t>Pohlaví (žena/muž):</t>
  </si>
  <si>
    <t>přesluhování:</t>
  </si>
  <si>
    <t>předčasný odchod:</t>
  </si>
  <si>
    <t>Bez pobírání důchodu:</t>
  </si>
  <si>
    <t>před 1.7.2001</t>
  </si>
  <si>
    <t>po 30.6.2001</t>
  </si>
  <si>
    <t>(ano/ne/polovinu)</t>
  </si>
  <si>
    <t>Výpočet procentní sazby pro stanovení procentní výměry důchodu:</t>
  </si>
  <si>
    <t>Při pobírání 1/2 důchodu po 1.1.2010:</t>
  </si>
  <si>
    <t>Při pobírání plného důchodu po 1.1.2010:</t>
  </si>
  <si>
    <t>čtvrtletí</t>
  </si>
  <si>
    <t>Budete pobírat důchod?</t>
  </si>
  <si>
    <t>Při přesluhování zadejte rozsah pobírání důchodu:</t>
  </si>
  <si>
    <r>
      <t xml:space="preserve">(bez pobírání zadejte </t>
    </r>
    <r>
      <rPr>
        <b/>
        <sz val="8"/>
        <color indexed="8"/>
        <rFont val="Tahoma"/>
        <family val="2"/>
      </rPr>
      <t>bez</t>
    </r>
    <r>
      <rPr>
        <sz val="8"/>
        <color indexed="8"/>
        <rFont val="Tahoma"/>
        <family val="2"/>
      </rPr>
      <t>,při pobírání 1/2 zadejte</t>
    </r>
    <r>
      <rPr>
        <b/>
        <sz val="8"/>
        <color indexed="8"/>
        <rFont val="Tahoma"/>
        <family val="2"/>
      </rPr>
      <t xml:space="preserve"> polovinu</t>
    </r>
    <r>
      <rPr>
        <sz val="8"/>
        <color indexed="8"/>
        <rFont val="Tahoma"/>
        <family val="2"/>
      </rPr>
      <t xml:space="preserve">, při pobírání plného důchodu zadejte </t>
    </r>
    <r>
      <rPr>
        <b/>
        <sz val="8"/>
        <color indexed="8"/>
        <rFont val="Tahoma"/>
        <family val="2"/>
      </rPr>
      <t>plný</t>
    </r>
    <r>
      <rPr>
        <sz val="8"/>
        <color indexed="8"/>
        <rFont val="Tahoma"/>
        <family val="2"/>
      </rPr>
      <t>)</t>
    </r>
  </si>
  <si>
    <t>bez</t>
  </si>
  <si>
    <t>Procentní sazba celkem:</t>
  </si>
  <si>
    <t>Rok</t>
  </si>
  <si>
    <t>Vyměřovací základ</t>
  </si>
  <si>
    <t>Vyloučené doby</t>
  </si>
  <si>
    <t>Koeficient nárustu VVZ</t>
  </si>
  <si>
    <t>Všeobecný vym. základ</t>
  </si>
  <si>
    <t>Základní výměra důchodu:</t>
  </si>
  <si>
    <t>Procentní výměra důchodu:</t>
  </si>
  <si>
    <t>Úhrnná výše důchodu:</t>
  </si>
  <si>
    <t>Základní výměra</t>
  </si>
  <si>
    <t>Roční vym. základ</t>
  </si>
  <si>
    <t xml:space="preserve">Redukční hranice I. </t>
  </si>
  <si>
    <t xml:space="preserve">Redukční hranice II. </t>
  </si>
  <si>
    <t xml:space="preserve">Redukční hranice III. </t>
  </si>
  <si>
    <t xml:space="preserve">Redukce v pásmu I.-II. </t>
  </si>
  <si>
    <t xml:space="preserve">Redukce v pásmu II.-III. </t>
  </si>
  <si>
    <t>Redukce v pásmu nad III.</t>
  </si>
  <si>
    <t>souhrn vyloučených dob</t>
  </si>
  <si>
    <t>úhrn ročních vyměř. základů</t>
  </si>
  <si>
    <t>Osobní vyměřovací náklad</t>
  </si>
  <si>
    <t>Výpočtový základ</t>
  </si>
  <si>
    <t>Přepočítávací koeficient</t>
  </si>
  <si>
    <t>Maximální vyměřovací základ</t>
  </si>
  <si>
    <t>Důchodový věk:</t>
  </si>
  <si>
    <t>muž</t>
  </si>
  <si>
    <t>žena</t>
  </si>
  <si>
    <t>Rok dosažení důch. věku</t>
  </si>
  <si>
    <t>Potřebná doba pojištění</t>
  </si>
  <si>
    <t>Nutná doba pojištění</t>
  </si>
  <si>
    <t>Datum přiznání:</t>
  </si>
  <si>
    <t>Přesluhování:</t>
  </si>
  <si>
    <t>Předčasný odchod:</t>
  </si>
  <si>
    <t>tj.</t>
  </si>
  <si>
    <t>čtvrtletí,</t>
  </si>
  <si>
    <t>procentní výměra</t>
  </si>
  <si>
    <t>Kč.</t>
  </si>
  <si>
    <t>1986 -</t>
  </si>
  <si>
    <t>Úhrn ročních vyměřovacích základů:</t>
  </si>
  <si>
    <t>Počet dnů</t>
  </si>
  <si>
    <t>Výpočtový základ:</t>
  </si>
  <si>
    <t>v rozhodném období:</t>
  </si>
  <si>
    <t>vyloučených:</t>
  </si>
  <si>
    <t>Osobní vyměřovací základ:</t>
  </si>
  <si>
    <t>Redukční hranice:</t>
  </si>
  <si>
    <t>započte se:</t>
  </si>
  <si>
    <t>dnů,</t>
  </si>
  <si>
    <t>Do uvedených výpočtů nelze zasahovat.</t>
  </si>
  <si>
    <t>Vypočtená výše důchodu je pouze orientační, nevzniká na ni žádný právní nárok.</t>
  </si>
  <si>
    <t>Do sloupců "Vyměřovací základ (Kč)" a "Vyloučené doby (počet dnů)" doplňte prosím potřebné hodnoty.</t>
  </si>
  <si>
    <t>Rozhodné období tvoří roky:</t>
  </si>
  <si>
    <t>Doba pojištění ke dni vzniku nároku na starobní důchod:</t>
  </si>
  <si>
    <t>let, tj.</t>
  </si>
  <si>
    <t>Orientační výše Vašeho důchodu k datu:</t>
  </si>
  <si>
    <t>Stanovení výpočtového základu v roce:</t>
  </si>
  <si>
    <t>Počet dětí:</t>
  </si>
  <si>
    <t xml:space="preserve"> </t>
  </si>
  <si>
    <t>Průměrná mzda</t>
  </si>
  <si>
    <t>Násobek max.</t>
  </si>
  <si>
    <t>Orientační výpočet starobního důchodu s datem přiznání v roce</t>
  </si>
  <si>
    <t>Nárok na starobní důchod:</t>
  </si>
  <si>
    <t>Nárok na předčasný starobní důchod:</t>
  </si>
  <si>
    <t>Minimální doba pojištění pro nárok na starobní (předčasný) důchod:</t>
  </si>
  <si>
    <t>Základní informace - vyplňte vždy:</t>
  </si>
  <si>
    <t>Úhrná výše důchodu:</t>
  </si>
  <si>
    <t>Osobní vyměřovací základ</t>
  </si>
  <si>
    <t>Podrobnosti k predikci minimalistické varianty</t>
  </si>
  <si>
    <t>Podrobnosti k predikci střední varianty</t>
  </si>
  <si>
    <t>Podrobnosti k predikci optimistické varianty</t>
  </si>
  <si>
    <t>počet dnů v rozhodném období</t>
  </si>
  <si>
    <t>Přesluhování – uveďte celkový počet dní:</t>
  </si>
  <si>
    <t>Počet let pojištění k datu nároku na starobní důchod:</t>
  </si>
  <si>
    <t>do</t>
  </si>
  <si>
    <t>nad</t>
  </si>
  <si>
    <t>Výpočet možno provést nejdříve od:</t>
  </si>
  <si>
    <t>dnů, tj.</t>
  </si>
  <si>
    <t>čtvrtletí, procentní výměra</t>
  </si>
  <si>
    <t>Přepočtený vyměřovací základ</t>
  </si>
  <si>
    <t>Koef. nárůstu vym. zákl.</t>
  </si>
  <si>
    <t>Přepočtený vym. základ</t>
  </si>
  <si>
    <t>Koef. nárůstu vym. základ</t>
  </si>
  <si>
    <t>Uvažované datum přiznání starobního důchodu:</t>
  </si>
  <si>
    <t>Procentní výměra celkem:</t>
  </si>
  <si>
    <t>Údaje požadované pro výpočet:</t>
  </si>
  <si>
    <t>Odhadovaná průměrná mzda v ČR</t>
  </si>
  <si>
    <t>Vaše odhad. průměrná mzda v ČR</t>
  </si>
  <si>
    <t>&lt;1936</t>
  </si>
  <si>
    <t>&gt;1971</t>
  </si>
  <si>
    <t>&gt;1936&lt;1971</t>
  </si>
  <si>
    <t>Podrobnosti k základní variantě orientačního výpočtu důchodu pro rok</t>
  </si>
  <si>
    <t>Návod ke kalkulačce.</t>
  </si>
  <si>
    <t>Ve výpočtu procentní výměry starobního důchodu v roce 2022 nejsou zahrnuty mimořádné valorizace (červen o 8,2% a září o 5,2%) - pro stanovení výše důchodu včetně valorizací je třeba vypočtenou procentní výměru o tyto hodnoty postupně navýšit.</t>
  </si>
  <si>
    <t>Ve výpočtu procentní výměry starobního důchodu není zahrnuto zvýšení procentní výměry starobního důchodu za vychované dítě, tzv. „výchovné“ (500 Kč měsíčně za každé vychované dítě) – pro stanovení výše starobního důchodu včetně „výchovného“ je třeba vypočtenou procentní výměru navýšit za požadovaný počet vychovaných dětí o 500 Kč za každé dítě.</t>
  </si>
  <si>
    <t>Pro výpočet důchodu po roce 2024 nejsou ještě známy potřebné statistické údaje, proto se při výpočtu použila odhadovaná výše průměrné mzdy (levý sloupečku). Vlastní odhad můžete zadat do pravého sloupečku. Podrobnosti ke způsobu výpočtu důchodu do budoucna naleznete</t>
  </si>
  <si>
    <t>Pro výpočet starobního důchodu byla použita maximální hodnota odhadované výše průměrné mzdy v ČR v daném roce ve výši 60 000 Kč.</t>
  </si>
  <si>
    <t>Ve výpočtu procentní výměry starobního důchodu v roce 2023 není zahrnuta mimořádná valorizace v červnu o 2,3% a pevnou částku Kč 400. Pro stanovení výše důchodu včetně mimořádné valorizace je potřeba vypočtenou procentní výměru o tyto hodnoty postupně navýšit. Procentní výměry předčasných starobních důchodů přiznaných po 30. 9. 2023 se o tyto hodnoty nenavýší.</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</si>
</sst>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_K"/>
    <numFmt numFmtId="167" formatCode="0.0%"/>
    <numFmt numFmtId="168" formatCode=";;;"/>
    <numFmt numFmtId="169" formatCode="#,##0.0000_K"/>
    <numFmt numFmtId="170" formatCode="#,##0.0000"/>
    <numFmt numFmtId="171" formatCode="[$-405]d\.\ mmmm\ yyyy"/>
  </numFmts>
  <fonts count="76">
    <font>
      <sz val="10"/>
      <color theme="1"/>
      <name val="Tahoma"/>
      <family val="2"/>
    </font>
    <font>
      <sz val="10"/>
      <color indexed="8"/>
      <name val="Tahoma"/>
      <family val="2"/>
    </font>
    <font>
      <sz val="10"/>
      <name val="Arial CE"/>
      <family val="2"/>
    </font>
    <font>
      <sz val="10"/>
      <name val="Times New Roman CE"/>
      <family val="1"/>
    </font>
    <font>
      <sz val="10"/>
      <name val="Tahoma"/>
      <family val="2"/>
    </font>
    <font>
      <sz val="8"/>
      <color indexed="8"/>
      <name val="Tahoma"/>
      <family val="2"/>
    </font>
    <font>
      <b/>
      <sz val="8"/>
      <color indexed="8"/>
      <name val="Tahoma"/>
      <family val="2"/>
    </font>
    <font>
      <sz val="11"/>
      <name val="Times New Roman CE"/>
      <family val="1"/>
    </font>
    <font>
      <b/>
      <sz val="11"/>
      <name val="Times New Roman CE"/>
      <family val="0"/>
    </font>
    <font>
      <sz val="8"/>
      <name val="Tahoma"/>
      <family val="2"/>
    </font>
    <font>
      <sz val="8"/>
      <name val="Times New Roman CE"/>
      <family val="1"/>
    </font>
    <font>
      <b/>
      <sz val="10"/>
      <name val="Tahoma"/>
      <family val="2"/>
    </font>
    <font>
      <sz val="9"/>
      <name val="Tahoma"/>
      <family val="2"/>
    </font>
    <font>
      <sz val="9"/>
      <name val="Times New Roman CE"/>
      <family val="1"/>
    </font>
    <font>
      <b/>
      <sz val="9"/>
      <name val="Times New Roman CE"/>
      <family val="0"/>
    </font>
    <font>
      <b/>
      <sz val="9"/>
      <name val="Tahoma"/>
      <family val="2"/>
    </font>
    <font>
      <sz val="10"/>
      <color indexed="9"/>
      <name val="Tahoma"/>
      <family val="2"/>
    </font>
    <font>
      <b/>
      <sz val="10"/>
      <color indexed="8"/>
      <name val="Tahoma"/>
      <family val="2"/>
    </font>
    <font>
      <u val="single"/>
      <sz val="10"/>
      <color indexed="12"/>
      <name val="Tahoma"/>
      <family val="2"/>
    </font>
    <font>
      <b/>
      <sz val="10"/>
      <color indexed="9"/>
      <name val="Tahoma"/>
      <family val="2"/>
    </font>
    <font>
      <b/>
      <sz val="15"/>
      <color indexed="56"/>
      <name val="Tahoma"/>
      <family val="2"/>
    </font>
    <font>
      <b/>
      <sz val="13"/>
      <color indexed="56"/>
      <name val="Tahoma"/>
      <family val="2"/>
    </font>
    <font>
      <b/>
      <sz val="11"/>
      <color indexed="56"/>
      <name val="Tahoma"/>
      <family val="2"/>
    </font>
    <font>
      <b/>
      <sz val="18"/>
      <color indexed="56"/>
      <name val="Cambria"/>
      <family val="2"/>
    </font>
    <font>
      <sz val="10"/>
      <color indexed="60"/>
      <name val="Tahoma"/>
      <family val="2"/>
    </font>
    <font>
      <u val="single"/>
      <sz val="10"/>
      <color indexed="20"/>
      <name val="Tahoma"/>
      <family val="2"/>
    </font>
    <font>
      <sz val="10"/>
      <color indexed="52"/>
      <name val="Tahoma"/>
      <family val="2"/>
    </font>
    <font>
      <sz val="10"/>
      <color indexed="17"/>
      <name val="Tahoma"/>
      <family val="2"/>
    </font>
    <font>
      <sz val="10"/>
      <color indexed="20"/>
      <name val="Tahoma"/>
      <family val="2"/>
    </font>
    <font>
      <sz val="10"/>
      <color indexed="10"/>
      <name val="Tahoma"/>
      <family val="2"/>
    </font>
    <font>
      <sz val="10"/>
      <color indexed="62"/>
      <name val="Tahoma"/>
      <family val="2"/>
    </font>
    <font>
      <b/>
      <sz val="10"/>
      <color indexed="52"/>
      <name val="Tahoma"/>
      <family val="2"/>
    </font>
    <font>
      <b/>
      <sz val="10"/>
      <color indexed="63"/>
      <name val="Tahoma"/>
      <family val="2"/>
    </font>
    <font>
      <i/>
      <sz val="10"/>
      <color indexed="23"/>
      <name val="Tahoma"/>
      <family val="2"/>
    </font>
    <font>
      <sz val="10"/>
      <color indexed="23"/>
      <name val="Tahoma"/>
      <family val="2"/>
    </font>
    <font>
      <sz val="9"/>
      <color indexed="8"/>
      <name val="Tahoma"/>
      <family val="2"/>
    </font>
    <font>
      <sz val="9"/>
      <color indexed="17"/>
      <name val="Tahoma"/>
      <family val="2"/>
    </font>
    <font>
      <sz val="9"/>
      <color indexed="9"/>
      <name val="Tahoma"/>
      <family val="2"/>
    </font>
    <font>
      <b/>
      <sz val="9"/>
      <color indexed="8"/>
      <name val="Tahoma"/>
      <family val="2"/>
    </font>
    <font>
      <sz val="9"/>
      <color indexed="20"/>
      <name val="Tahoma"/>
      <family val="2"/>
    </font>
    <font>
      <sz val="8"/>
      <color indexed="9"/>
      <name val="Tahoma"/>
      <family val="2"/>
    </font>
    <font>
      <sz val="8"/>
      <color indexed="10"/>
      <name val="Tahoma"/>
      <family val="2"/>
    </font>
    <font>
      <u val="single"/>
      <sz val="8"/>
      <color indexed="10"/>
      <name val="Tahoma"/>
      <family val="2"/>
    </font>
    <font>
      <b/>
      <sz val="10"/>
      <color indexed="10"/>
      <name val="Tahoma"/>
      <family val="2"/>
    </font>
    <font>
      <sz val="7"/>
      <color indexed="8"/>
      <name val="Tahoma"/>
      <family val="2"/>
    </font>
    <font>
      <b/>
      <sz val="12"/>
      <color indexed="8"/>
      <name val="Calibri"/>
      <family val="0"/>
    </font>
    <font>
      <sz val="10"/>
      <color theme="0"/>
      <name val="Tahoma"/>
      <family val="2"/>
    </font>
    <font>
      <b/>
      <sz val="10"/>
      <color theme="1"/>
      <name val="Tahoma"/>
      <family val="2"/>
    </font>
    <font>
      <u val="single"/>
      <sz val="10"/>
      <color theme="10"/>
      <name val="Tahoma"/>
      <family val="2"/>
    </font>
    <font>
      <b/>
      <sz val="10"/>
      <color theme="0"/>
      <name val="Tahoma"/>
      <family val="2"/>
    </font>
    <font>
      <b/>
      <sz val="15"/>
      <color theme="3"/>
      <name val="Tahoma"/>
      <family val="2"/>
    </font>
    <font>
      <b/>
      <sz val="13"/>
      <color theme="3"/>
      <name val="Tahoma"/>
      <family val="2"/>
    </font>
    <font>
      <b/>
      <sz val="11"/>
      <color theme="3"/>
      <name val="Tahoma"/>
      <family val="2"/>
    </font>
    <font>
      <b/>
      <sz val="18"/>
      <color theme="3"/>
      <name val="Cambria"/>
      <family val="2"/>
    </font>
    <font>
      <sz val="10"/>
      <color rgb="FF9C6500"/>
      <name val="Tahoma"/>
      <family val="2"/>
    </font>
    <font>
      <u val="single"/>
      <sz val="10"/>
      <color theme="11"/>
      <name val="Tahoma"/>
      <family val="2"/>
    </font>
    <font>
      <sz val="10"/>
      <color rgb="FFFA7D00"/>
      <name val="Tahoma"/>
      <family val="2"/>
    </font>
    <font>
      <sz val="10"/>
      <color rgb="FF006100"/>
      <name val="Tahoma"/>
      <family val="2"/>
    </font>
    <font>
      <sz val="10"/>
      <color rgb="FF9C0006"/>
      <name val="Tahoma"/>
      <family val="2"/>
    </font>
    <font>
      <sz val="10"/>
      <color rgb="FFFF0000"/>
      <name val="Tahoma"/>
      <family val="2"/>
    </font>
    <font>
      <sz val="10"/>
      <color rgb="FF3F3F76"/>
      <name val="Tahoma"/>
      <family val="2"/>
    </font>
    <font>
      <b/>
      <sz val="10"/>
      <color rgb="FFFA7D00"/>
      <name val="Tahoma"/>
      <family val="2"/>
    </font>
    <font>
      <b/>
      <sz val="10"/>
      <color rgb="FF3F3F3F"/>
      <name val="Tahoma"/>
      <family val="2"/>
    </font>
    <font>
      <i/>
      <sz val="10"/>
      <color rgb="FF7F7F7F"/>
      <name val="Tahoma"/>
      <family val="2"/>
    </font>
    <font>
      <sz val="8"/>
      <color theme="1"/>
      <name val="Tahoma"/>
      <family val="2"/>
    </font>
    <font>
      <sz val="10"/>
      <color theme="0" tint="-0.4999699890613556"/>
      <name val="Tahoma"/>
      <family val="2"/>
    </font>
    <font>
      <sz val="9"/>
      <color theme="1"/>
      <name val="Tahoma"/>
      <family val="2"/>
    </font>
    <font>
      <sz val="9"/>
      <color rgb="FF006100"/>
      <name val="Tahoma"/>
      <family val="2"/>
    </font>
    <font>
      <sz val="9"/>
      <color theme="0"/>
      <name val="Tahoma"/>
      <family val="2"/>
    </font>
    <font>
      <b/>
      <sz val="9"/>
      <color theme="1"/>
      <name val="Tahoma"/>
      <family val="2"/>
    </font>
    <font>
      <sz val="9"/>
      <color rgb="FF9C0006"/>
      <name val="Tahoma"/>
      <family val="2"/>
    </font>
    <font>
      <sz val="8"/>
      <color rgb="FFFF0000"/>
      <name val="Tahoma"/>
      <family val="2"/>
    </font>
    <font>
      <b/>
      <sz val="10"/>
      <color rgb="FFFF0000"/>
      <name val="Tahoma"/>
      <family val="2"/>
    </font>
    <font>
      <sz val="8"/>
      <color theme="0"/>
      <name val="Tahoma"/>
      <family val="2"/>
    </font>
    <font>
      <u val="single"/>
      <sz val="8"/>
      <color rgb="FFFF0000"/>
      <name val="Tahoma"/>
      <family val="2"/>
    </font>
    <font>
      <sz val="7"/>
      <color theme="1"/>
      <name val="Tahom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2D050"/>
        <bgColor indexed="64"/>
      </patternFill>
    </fill>
    <fill>
      <patternFill patternType="solid">
        <fgColor rgb="FF005E1D"/>
        <bgColor indexed="64"/>
      </patternFill>
    </fill>
    <fill>
      <patternFill patternType="solid">
        <fgColor rgb="FFB5C8AC"/>
        <bgColor indexed="64"/>
      </patternFill>
    </fill>
    <fill>
      <patternFill patternType="solid">
        <fgColor rgb="FF87A67A"/>
        <bgColor indexed="64"/>
      </patternFill>
    </fill>
    <fill>
      <patternFill patternType="solid">
        <fgColor rgb="FFB5C8B4"/>
        <bgColor indexed="64"/>
      </patternFill>
    </fill>
    <fill>
      <patternFill patternType="solid">
        <fgColor rgb="FFB6C8AC"/>
        <bgColor indexed="64"/>
      </patternFill>
    </fill>
    <fill>
      <patternFill patternType="solid">
        <fgColor rgb="FFB4C8AC"/>
        <bgColor indexed="64"/>
      </patternFill>
    </fill>
  </fills>
  <borders count="8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medium"/>
      <top style="medium"/>
      <bottom style="medium"/>
    </border>
    <border>
      <left/>
      <right style="medium"/>
      <top/>
      <bottom style="thin"/>
    </border>
    <border>
      <left style="medium"/>
      <right/>
      <top style="medium"/>
      <bottom style="medium"/>
    </border>
    <border>
      <left/>
      <right/>
      <top/>
      <bottom style="thin"/>
    </border>
    <border>
      <left style="medium"/>
      <right style="medium"/>
      <top style="medium"/>
      <bottom style="medium"/>
    </border>
    <border>
      <left style="thin"/>
      <right/>
      <top style="thin"/>
      <bottom/>
    </border>
    <border>
      <left/>
      <right/>
      <top style="thin"/>
      <bottom/>
    </border>
    <border>
      <left style="thin"/>
      <right/>
      <top/>
      <bottom/>
    </border>
    <border>
      <left style="thin"/>
      <right/>
      <top/>
      <bottom style="thin"/>
    </border>
    <border>
      <left/>
      <right/>
      <top/>
      <bottom style="thin">
        <color theme="1"/>
      </bottom>
    </border>
    <border>
      <left/>
      <right/>
      <top style="thin">
        <color theme="1"/>
      </top>
      <bottom/>
    </border>
    <border>
      <left style="thin">
        <color theme="1"/>
      </left>
      <right/>
      <top style="thin">
        <color theme="1"/>
      </top>
      <bottom/>
    </border>
    <border>
      <left style="thin">
        <color theme="1"/>
      </left>
      <right/>
      <top/>
      <bottom/>
    </border>
    <border>
      <left style="thin">
        <color theme="1"/>
      </left>
      <right/>
      <top/>
      <bottom style="thin">
        <color theme="1"/>
      </bottom>
    </border>
    <border>
      <left/>
      <right style="thin">
        <color theme="1"/>
      </right>
      <top/>
      <bottom/>
    </border>
    <border>
      <left/>
      <right/>
      <top/>
      <bottom style="medium"/>
    </border>
    <border>
      <left style="thin"/>
      <right/>
      <top style="thin"/>
      <bottom style="thin"/>
    </border>
    <border>
      <left style="thin"/>
      <right style="thin"/>
      <top/>
      <bottom style="thin"/>
    </border>
    <border>
      <left style="thin"/>
      <right style="thin"/>
      <top style="thin"/>
      <bottom style="medium"/>
    </border>
    <border>
      <left style="medium"/>
      <right/>
      <top style="medium"/>
      <bottom/>
    </border>
    <border>
      <left/>
      <right/>
      <top style="medium"/>
      <bottom/>
    </border>
    <border>
      <left/>
      <right style="medium"/>
      <top style="medium"/>
      <bottom/>
    </border>
    <border>
      <left/>
      <right style="medium"/>
      <top/>
      <bottom/>
    </border>
    <border>
      <left style="medium"/>
      <right/>
      <top/>
      <bottom/>
    </border>
    <border>
      <left/>
      <right/>
      <top style="medium"/>
      <bottom style="mediu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border>
    <border>
      <left/>
      <right style="thin">
        <color rgb="FFFF0000"/>
      </right>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right style="thin"/>
      <top style="thin"/>
      <bottom/>
    </border>
    <border>
      <left/>
      <right style="thin"/>
      <top/>
      <bottom/>
    </border>
    <border>
      <left/>
      <right style="thin"/>
      <top/>
      <bottom style="thin"/>
    </border>
    <border>
      <left/>
      <right/>
      <top style="thin"/>
      <bottom style="thin"/>
    </border>
    <border>
      <left style="medium"/>
      <right/>
      <top/>
      <bottom style="medium"/>
    </border>
    <border>
      <left style="thin"/>
      <right style="thin"/>
      <top style="thin"/>
      <bottom/>
    </border>
    <border>
      <left style="hair"/>
      <right style="hair"/>
      <top>
        <color indexed="63"/>
      </top>
      <bottom>
        <color indexed="63"/>
      </bottom>
    </border>
    <border>
      <left style="hair"/>
      <right style="hair"/>
      <top style="thin"/>
      <bottom style="thin"/>
    </border>
    <border>
      <left style="medium"/>
      <right style="medium"/>
      <top style="medium"/>
      <bottom/>
    </border>
    <border>
      <left style="medium"/>
      <right style="medium"/>
      <top/>
      <bottom/>
    </border>
    <border>
      <left style="medium"/>
      <right style="medium"/>
      <top/>
      <bottom style="medium"/>
    </border>
    <border>
      <left style="thin"/>
      <right style="thin"/>
      <top/>
      <bottom/>
    </border>
    <border>
      <left style="hair"/>
      <right style="hair"/>
      <top>
        <color indexed="63"/>
      </top>
      <bottom style="thin"/>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medium">
        <color theme="1"/>
      </left>
      <right style="medium">
        <color theme="1"/>
      </right>
      <top style="medium">
        <color theme="1"/>
      </top>
      <bottom/>
    </border>
    <border>
      <left style="medium">
        <color theme="1"/>
      </left>
      <right style="medium">
        <color theme="1"/>
      </right>
      <top/>
      <bottom/>
    </border>
    <border>
      <left style="medium">
        <color theme="1"/>
      </left>
      <right style="medium">
        <color theme="1"/>
      </right>
      <top/>
      <bottom style="medium">
        <color theme="1"/>
      </bottom>
    </border>
    <border>
      <left style="medium">
        <color theme="1"/>
      </left>
      <right>
        <color indexed="63"/>
      </right>
      <top/>
      <bottom/>
    </border>
    <border>
      <left style="medium">
        <color theme="1"/>
      </left>
      <right style="thin">
        <color rgb="FFB5C8AC"/>
      </right>
      <top>
        <color indexed="63"/>
      </top>
      <bottom>
        <color indexed="63"/>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style="medium">
        <color theme="1"/>
      </left>
      <right>
        <color indexed="63"/>
      </right>
      <top style="medium">
        <color theme="1"/>
      </top>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color indexed="63"/>
      </left>
      <right style="medium">
        <color theme="1"/>
      </right>
      <top>
        <color indexed="63"/>
      </top>
      <bottom>
        <color indexed="63"/>
      </bottom>
    </border>
    <border>
      <left style="medium">
        <color theme="1"/>
      </left>
      <right style="thin">
        <color rgb="FFB5C8AC"/>
      </right>
      <top style="thin">
        <color rgb="FFB5C8AC"/>
      </top>
      <bottom style="thin">
        <color rgb="FFB5C8AC"/>
      </bottom>
    </border>
    <border>
      <left style="thin">
        <color rgb="FFB5C8AC"/>
      </left>
      <right style="medium">
        <color theme="1"/>
      </right>
      <top style="thin">
        <color rgb="FFB5C8AC"/>
      </top>
      <bottom style="thin">
        <color rgb="FFB5C8AC"/>
      </bottom>
    </border>
    <border>
      <left style="medium">
        <color theme="1"/>
      </left>
      <right style="thin">
        <color rgb="FFB5C8AC"/>
      </right>
      <top style="thin">
        <color rgb="FFB5C8AC"/>
      </top>
      <bottom style="medium">
        <color theme="1"/>
      </bottom>
    </border>
    <border>
      <left style="thin">
        <color rgb="FFB5C8AC"/>
      </left>
      <right style="thin">
        <color rgb="FFB5C8AC"/>
      </right>
      <top style="thin">
        <color rgb="FFB5C8AC"/>
      </top>
      <bottom style="medium">
        <color theme="1"/>
      </bottom>
    </border>
    <border>
      <left style="thin">
        <color rgb="FFB5C8AC"/>
      </left>
      <right style="medium">
        <color theme="1"/>
      </right>
      <top style="thin">
        <color rgb="FFB5C8AC"/>
      </top>
      <bottom style="medium">
        <color theme="1"/>
      </bottom>
    </border>
    <border>
      <left/>
      <right style="medium"/>
      <top/>
      <bottom style="medium"/>
    </border>
    <border>
      <left>
        <color indexed="63"/>
      </left>
      <right style="medium">
        <color theme="1"/>
      </right>
      <top style="medium"/>
      <bottom/>
    </border>
    <border>
      <left>
        <color indexed="63"/>
      </left>
      <right style="medium">
        <color theme="1"/>
      </right>
      <top/>
      <bottom style="medium"/>
    </border>
    <border>
      <left/>
      <right style="thin">
        <color theme="1"/>
      </right>
      <top style="thin">
        <color theme="1"/>
      </top>
      <bottom/>
    </border>
    <border>
      <left/>
      <right style="thin">
        <color theme="1"/>
      </right>
      <top/>
      <bottom style="thin">
        <color theme="1"/>
      </bottom>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1" borderId="0" applyNumberFormat="0" applyBorder="0" applyAlignment="0" applyProtection="0"/>
    <xf numFmtId="0" fontId="2" fillId="0" borderId="0">
      <alignment/>
      <protection/>
    </xf>
    <xf numFmtId="166" fontId="3" fillId="0" borderId="0">
      <alignment/>
      <protection/>
    </xf>
    <xf numFmtId="0" fontId="5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56" fillId="0" borderId="7" applyNumberFormat="0" applyFill="0" applyAlignment="0" applyProtection="0"/>
    <xf numFmtId="0" fontId="57" fillId="23" borderId="0" applyNumberFormat="0" applyBorder="0" applyAlignment="0" applyProtection="0"/>
    <xf numFmtId="0" fontId="58" fillId="24" borderId="0" applyNumberFormat="0" applyBorder="0" applyAlignment="0" applyProtection="0"/>
    <xf numFmtId="0" fontId="59" fillId="0" borderId="0" applyNumberFormat="0" applyFill="0" applyBorder="0" applyAlignment="0" applyProtection="0"/>
    <xf numFmtId="0" fontId="60" fillId="25" borderId="8" applyNumberFormat="0" applyAlignment="0" applyProtection="0"/>
    <xf numFmtId="0" fontId="61" fillId="26" borderId="8" applyNumberFormat="0" applyAlignment="0" applyProtection="0"/>
    <xf numFmtId="0" fontId="62" fillId="26" borderId="9" applyNumberFormat="0" applyAlignment="0" applyProtection="0"/>
    <xf numFmtId="0" fontId="63" fillId="0" borderId="0" applyNumberFormat="0" applyFill="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cellStyleXfs>
  <cellXfs count="564">
    <xf numFmtId="0" fontId="0" fillId="0" borderId="0" xfId="0" applyAlignment="1">
      <alignment/>
    </xf>
    <xf numFmtId="0" fontId="0" fillId="0" borderId="10" xfId="0" applyFill="1" applyBorder="1" applyAlignment="1">
      <alignment/>
    </xf>
    <xf numFmtId="0" fontId="0" fillId="0" borderId="10" xfId="0" applyBorder="1" applyAlignment="1">
      <alignment/>
    </xf>
    <xf numFmtId="0" fontId="0" fillId="0" borderId="10" xfId="0" applyBorder="1" applyAlignment="1">
      <alignment horizontal="center"/>
    </xf>
    <xf numFmtId="0" fontId="0" fillId="0" borderId="10" xfId="0" applyFill="1" applyBorder="1" applyAlignment="1">
      <alignment horizontal="center"/>
    </xf>
    <xf numFmtId="0" fontId="0" fillId="0" borderId="0" xfId="0" applyAlignment="1" applyProtection="1">
      <alignment/>
      <protection hidden="1"/>
    </xf>
    <xf numFmtId="0" fontId="0" fillId="33" borderId="0"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protection hidden="1"/>
    </xf>
    <xf numFmtId="0" fontId="0" fillId="33" borderId="11"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Border="1" applyAlignment="1" applyProtection="1">
      <alignment vertical="center"/>
      <protection hidden="1"/>
    </xf>
    <xf numFmtId="2" fontId="4" fillId="33" borderId="0" xfId="0" applyNumberFormat="1" applyFont="1" applyFill="1" applyBorder="1" applyAlignment="1" applyProtection="1">
      <alignment vertical="center"/>
      <protection hidden="1"/>
    </xf>
    <xf numFmtId="0" fontId="47" fillId="33" borderId="0" xfId="0" applyFont="1" applyFill="1" applyBorder="1" applyAlignment="1" applyProtection="1">
      <alignment horizontal="center" vertical="center"/>
      <protection hidden="1"/>
    </xf>
    <xf numFmtId="0" fontId="0" fillId="33" borderId="0" xfId="0" applyFill="1" applyBorder="1" applyAlignment="1" applyProtection="1">
      <alignment vertical="center"/>
      <protection hidden="1"/>
    </xf>
    <xf numFmtId="0" fontId="46" fillId="33" borderId="0" xfId="0" applyFont="1" applyFill="1" applyBorder="1" applyAlignment="1" applyProtection="1">
      <alignment vertical="center"/>
      <protection hidden="1"/>
    </xf>
    <xf numFmtId="167" fontId="4" fillId="33" borderId="0" xfId="0" applyNumberFormat="1" applyFont="1" applyFill="1" applyBorder="1" applyAlignment="1" applyProtection="1">
      <alignment vertical="center"/>
      <protection hidden="1"/>
    </xf>
    <xf numFmtId="167" fontId="4" fillId="34" borderId="10" xfId="0" applyNumberFormat="1" applyFont="1" applyFill="1" applyBorder="1" applyAlignment="1" applyProtection="1">
      <alignment horizontal="center" vertical="center"/>
      <protection hidden="1"/>
    </xf>
    <xf numFmtId="0" fontId="4" fillId="33" borderId="0" xfId="0" applyFont="1" applyFill="1" applyBorder="1" applyAlignment="1" applyProtection="1">
      <alignment vertical="center"/>
      <protection hidden="1"/>
    </xf>
    <xf numFmtId="0" fontId="0" fillId="33" borderId="12" xfId="0" applyFill="1" applyBorder="1" applyAlignment="1" applyProtection="1">
      <alignment vertical="center"/>
      <protection hidden="1"/>
    </xf>
    <xf numFmtId="1" fontId="4" fillId="33" borderId="13" xfId="0" applyNumberFormat="1" applyFont="1" applyFill="1" applyBorder="1" applyAlignment="1" applyProtection="1">
      <alignment vertical="center"/>
      <protection hidden="1"/>
    </xf>
    <xf numFmtId="0" fontId="0" fillId="33" borderId="14" xfId="0" applyFill="1" applyBorder="1" applyAlignment="1" applyProtection="1">
      <alignment vertical="center"/>
      <protection hidden="1"/>
    </xf>
    <xf numFmtId="0" fontId="64" fillId="33" borderId="14" xfId="0" applyFont="1" applyFill="1" applyBorder="1" applyAlignment="1" applyProtection="1">
      <alignment vertical="center"/>
      <protection hidden="1"/>
    </xf>
    <xf numFmtId="0" fontId="0" fillId="33" borderId="15" xfId="0" applyFill="1" applyBorder="1" applyAlignment="1" applyProtection="1">
      <alignment vertical="center"/>
      <protection hidden="1"/>
    </xf>
    <xf numFmtId="14" fontId="46" fillId="33" borderId="0" xfId="0" applyNumberFormat="1" applyFont="1" applyFill="1" applyBorder="1" applyAlignment="1" applyProtection="1">
      <alignment vertical="center"/>
      <protection hidden="1"/>
    </xf>
    <xf numFmtId="10" fontId="65" fillId="33" borderId="0" xfId="0" applyNumberFormat="1" applyFont="1" applyFill="1" applyBorder="1" applyAlignment="1" applyProtection="1">
      <alignment vertical="center"/>
      <protection hidden="1"/>
    </xf>
    <xf numFmtId="14" fontId="0" fillId="33" borderId="0" xfId="0" applyNumberFormat="1" applyFill="1" applyBorder="1" applyAlignment="1" applyProtection="1">
      <alignment vertical="center"/>
      <protection hidden="1"/>
    </xf>
    <xf numFmtId="0" fontId="4" fillId="33" borderId="13" xfId="0" applyFont="1" applyFill="1" applyBorder="1" applyAlignment="1" applyProtection="1">
      <alignment vertical="center"/>
      <protection hidden="1"/>
    </xf>
    <xf numFmtId="167" fontId="46" fillId="33" borderId="0" xfId="0" applyNumberFormat="1" applyFont="1" applyFill="1" applyBorder="1" applyAlignment="1" applyProtection="1">
      <alignment vertical="center"/>
      <protection hidden="1"/>
    </xf>
    <xf numFmtId="167" fontId="0" fillId="33" borderId="0" xfId="0" applyNumberFormat="1" applyFill="1" applyBorder="1" applyAlignment="1" applyProtection="1">
      <alignment vertical="center"/>
      <protection hidden="1"/>
    </xf>
    <xf numFmtId="167" fontId="65" fillId="33" borderId="10" xfId="0" applyNumberFormat="1" applyFont="1" applyFill="1" applyBorder="1" applyAlignment="1" applyProtection="1">
      <alignment horizontal="center" vertical="center"/>
      <protection hidden="1"/>
    </xf>
    <xf numFmtId="3" fontId="0" fillId="0" borderId="0" xfId="0" applyNumberFormat="1" applyFill="1" applyBorder="1" applyAlignment="1" applyProtection="1">
      <alignment vertical="center"/>
      <protection hidden="1"/>
    </xf>
    <xf numFmtId="0" fontId="0" fillId="0" borderId="10" xfId="0" applyBorder="1" applyAlignment="1">
      <alignment horizontal="center" vertical="center"/>
    </xf>
    <xf numFmtId="0" fontId="47" fillId="33" borderId="0" xfId="0" applyFont="1" applyFill="1" applyBorder="1" applyAlignment="1" applyProtection="1">
      <alignment horizontal="left" vertical="center"/>
      <protection hidden="1"/>
    </xf>
    <xf numFmtId="0" fontId="0" fillId="33" borderId="0" xfId="0" applyFont="1" applyFill="1" applyBorder="1" applyAlignment="1" applyProtection="1">
      <alignment vertical="center"/>
      <protection hidden="1"/>
    </xf>
    <xf numFmtId="0" fontId="47" fillId="33" borderId="0" xfId="0" applyFont="1" applyFill="1" applyBorder="1" applyAlignment="1" applyProtection="1">
      <alignment vertical="center"/>
      <protection hidden="1"/>
    </xf>
    <xf numFmtId="0" fontId="64" fillId="33" borderId="0" xfId="0" applyFont="1" applyFill="1" applyBorder="1" applyAlignment="1" applyProtection="1">
      <alignment vertical="center"/>
      <protection hidden="1"/>
    </xf>
    <xf numFmtId="0" fontId="47" fillId="0" borderId="0" xfId="0" applyFont="1" applyBorder="1" applyAlignment="1" applyProtection="1">
      <alignment vertical="center"/>
      <protection hidden="1"/>
    </xf>
    <xf numFmtId="0" fontId="0" fillId="33" borderId="13" xfId="0" applyFill="1" applyBorder="1" applyAlignment="1" applyProtection="1">
      <alignment horizontal="center" vertical="center"/>
      <protection hidden="1"/>
    </xf>
    <xf numFmtId="3" fontId="0" fillId="0" borderId="0" xfId="0" applyNumberFormat="1" applyBorder="1" applyAlignment="1" applyProtection="1">
      <alignment vertical="center"/>
      <protection hidden="1"/>
    </xf>
    <xf numFmtId="0" fontId="4" fillId="0" borderId="0" xfId="0" applyFont="1" applyBorder="1" applyAlignment="1" applyProtection="1">
      <alignment vertical="center"/>
      <protection hidden="1"/>
    </xf>
    <xf numFmtId="0" fontId="0" fillId="0" borderId="0" xfId="0" applyBorder="1" applyAlignment="1">
      <alignment/>
    </xf>
    <xf numFmtId="0" fontId="47" fillId="0" borderId="0" xfId="0" applyFont="1" applyAlignment="1">
      <alignment/>
    </xf>
    <xf numFmtId="0" fontId="0" fillId="0" borderId="0" xfId="0" applyAlignment="1">
      <alignment horizontal="center"/>
    </xf>
    <xf numFmtId="0" fontId="46" fillId="0" borderId="0" xfId="0" applyFont="1" applyBorder="1" applyAlignment="1" applyProtection="1">
      <alignment vertical="center"/>
      <protection hidden="1"/>
    </xf>
    <xf numFmtId="3" fontId="0" fillId="0" borderId="0" xfId="0" applyNumberFormat="1" applyAlignment="1">
      <alignment/>
    </xf>
    <xf numFmtId="0" fontId="0" fillId="0" borderId="0" xfId="0" applyAlignment="1">
      <alignment/>
    </xf>
    <xf numFmtId="49" fontId="0" fillId="0" borderId="0" xfId="0" applyNumberFormat="1" applyAlignment="1">
      <alignment horizontal="center"/>
    </xf>
    <xf numFmtId="3" fontId="0" fillId="0" borderId="0" xfId="0" applyNumberFormat="1" applyAlignment="1">
      <alignment/>
    </xf>
    <xf numFmtId="0" fontId="47" fillId="0" borderId="0" xfId="0" applyFont="1" applyBorder="1" applyAlignment="1">
      <alignment/>
    </xf>
    <xf numFmtId="0" fontId="47" fillId="0" borderId="0" xfId="0" applyFont="1" applyBorder="1" applyAlignment="1">
      <alignment horizontal="left"/>
    </xf>
    <xf numFmtId="0" fontId="0" fillId="0" borderId="16" xfId="0" applyBorder="1" applyAlignment="1">
      <alignment/>
    </xf>
    <xf numFmtId="0" fontId="0" fillId="0" borderId="17" xfId="0" applyBorder="1" applyAlignment="1">
      <alignment/>
    </xf>
    <xf numFmtId="0" fontId="0" fillId="0" borderId="17" xfId="0" applyBorder="1" applyAlignment="1">
      <alignment horizontal="right"/>
    </xf>
    <xf numFmtId="0" fontId="0" fillId="0" borderId="18" xfId="0" applyBorder="1" applyAlignment="1">
      <alignment/>
    </xf>
    <xf numFmtId="0" fontId="0" fillId="0" borderId="19" xfId="0" applyBorder="1" applyAlignment="1">
      <alignment/>
    </xf>
    <xf numFmtId="0" fontId="0" fillId="0" borderId="14" xfId="0" applyBorder="1" applyAlignment="1">
      <alignment/>
    </xf>
    <xf numFmtId="0" fontId="47" fillId="33" borderId="0" xfId="0" applyFont="1" applyFill="1" applyBorder="1" applyAlignment="1" applyProtection="1">
      <alignment horizontal="right" vertical="center"/>
      <protection hidden="1"/>
    </xf>
    <xf numFmtId="14" fontId="0" fillId="0" borderId="0" xfId="0" applyNumberFormat="1" applyFill="1" applyBorder="1" applyAlignment="1">
      <alignment horizontal="center"/>
    </xf>
    <xf numFmtId="0" fontId="0" fillId="0" borderId="0" xfId="0" applyFill="1" applyBorder="1" applyAlignment="1">
      <alignment/>
    </xf>
    <xf numFmtId="0" fontId="64" fillId="0" borderId="10" xfId="0" applyFont="1" applyBorder="1" applyAlignment="1" applyProtection="1">
      <alignment vertical="center"/>
      <protection hidden="1"/>
    </xf>
    <xf numFmtId="0" fontId="64" fillId="0" borderId="10" xfId="0" applyFont="1" applyBorder="1" applyAlignment="1" applyProtection="1">
      <alignment horizontal="center" vertical="center"/>
      <protection hidden="1"/>
    </xf>
    <xf numFmtId="0" fontId="9" fillId="0" borderId="10" xfId="0" applyFont="1" applyFill="1" applyBorder="1" applyAlignment="1" applyProtection="1">
      <alignment horizontal="center" vertical="center"/>
      <protection hidden="1"/>
    </xf>
    <xf numFmtId="169" fontId="10" fillId="0" borderId="10" xfId="47" applyNumberFormat="1" applyFont="1" applyBorder="1" applyAlignment="1" applyProtection="1">
      <alignment horizontal="center" vertical="center"/>
      <protection hidden="1"/>
    </xf>
    <xf numFmtId="0" fontId="64" fillId="0" borderId="10" xfId="0" applyFont="1" applyFill="1" applyBorder="1" applyAlignment="1" applyProtection="1">
      <alignment horizontal="center" vertical="center"/>
      <protection hidden="1"/>
    </xf>
    <xf numFmtId="169" fontId="10" fillId="0" borderId="10" xfId="47" applyNumberFormat="1" applyFont="1" applyFill="1" applyBorder="1" applyAlignment="1" applyProtection="1">
      <alignment horizontal="center" vertical="center"/>
      <protection hidden="1"/>
    </xf>
    <xf numFmtId="0" fontId="4" fillId="0" borderId="0" xfId="0" applyFont="1" applyFill="1" applyBorder="1" applyAlignment="1" applyProtection="1">
      <alignment/>
      <protection hidden="1"/>
    </xf>
    <xf numFmtId="0" fontId="4" fillId="0" borderId="0" xfId="0" applyFont="1" applyFill="1" applyBorder="1" applyAlignment="1">
      <alignment/>
    </xf>
    <xf numFmtId="0" fontId="0" fillId="0" borderId="0" xfId="0" applyFill="1" applyBorder="1" applyAlignment="1">
      <alignment horizontal="center"/>
    </xf>
    <xf numFmtId="167" fontId="0" fillId="0" borderId="20" xfId="0" applyNumberFormat="1" applyFill="1" applyBorder="1" applyAlignment="1">
      <alignment/>
    </xf>
    <xf numFmtId="0" fontId="0" fillId="0" borderId="20" xfId="0" applyFill="1" applyBorder="1" applyAlignment="1">
      <alignment horizontal="center"/>
    </xf>
    <xf numFmtId="3" fontId="47" fillId="0" borderId="20" xfId="0" applyNumberFormat="1" applyFont="1"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1" xfId="0" applyFill="1" applyBorder="1" applyAlignment="1">
      <alignment horizontal="right"/>
    </xf>
    <xf numFmtId="0" fontId="0" fillId="0" borderId="23" xfId="0" applyFill="1" applyBorder="1" applyAlignment="1">
      <alignment horizontal="right"/>
    </xf>
    <xf numFmtId="0" fontId="0" fillId="0" borderId="24" xfId="0" applyFill="1" applyBorder="1" applyAlignment="1">
      <alignment horizontal="right"/>
    </xf>
    <xf numFmtId="0" fontId="0" fillId="0" borderId="23" xfId="0" applyBorder="1" applyAlignment="1">
      <alignment/>
    </xf>
    <xf numFmtId="0" fontId="0" fillId="0" borderId="24" xfId="0" applyBorder="1" applyAlignment="1">
      <alignment/>
    </xf>
    <xf numFmtId="3" fontId="0" fillId="0" borderId="0" xfId="0" applyNumberFormat="1" applyBorder="1" applyAlignment="1">
      <alignment/>
    </xf>
    <xf numFmtId="0" fontId="0" fillId="0" borderId="22" xfId="0" applyBorder="1" applyAlignment="1">
      <alignment/>
    </xf>
    <xf numFmtId="0" fontId="0" fillId="0" borderId="25" xfId="0" applyBorder="1" applyAlignment="1">
      <alignment/>
    </xf>
    <xf numFmtId="0" fontId="66" fillId="33" borderId="0" xfId="0" applyFont="1" applyFill="1" applyBorder="1" applyAlignment="1" applyProtection="1">
      <alignment vertical="center"/>
      <protection hidden="1"/>
    </xf>
    <xf numFmtId="0" fontId="4" fillId="33" borderId="0" xfId="0" applyFont="1" applyFill="1" applyBorder="1" applyAlignment="1" applyProtection="1">
      <alignment/>
      <protection hidden="1"/>
    </xf>
    <xf numFmtId="0" fontId="0" fillId="33" borderId="0" xfId="0" applyFill="1" applyAlignment="1" applyProtection="1">
      <alignment/>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vertical="center"/>
      <protection hidden="1"/>
    </xf>
    <xf numFmtId="0" fontId="0" fillId="0" borderId="26" xfId="0" applyBorder="1" applyAlignment="1" applyProtection="1">
      <alignment/>
      <protection hidden="1"/>
    </xf>
    <xf numFmtId="0" fontId="11" fillId="0" borderId="0" xfId="54" applyFont="1" applyFill="1" applyBorder="1" applyAlignment="1" applyProtection="1">
      <alignment vertical="center" wrapText="1"/>
      <protection hidden="1"/>
    </xf>
    <xf numFmtId="0" fontId="58" fillId="0" borderId="0" xfId="54" applyFill="1" applyBorder="1" applyAlignment="1" applyProtection="1">
      <alignment vertical="center" wrapText="1"/>
      <protection hidden="1"/>
    </xf>
    <xf numFmtId="0" fontId="64" fillId="0" borderId="27" xfId="0" applyFont="1" applyBorder="1" applyAlignment="1" applyProtection="1">
      <alignment vertical="center"/>
      <protection hidden="1"/>
    </xf>
    <xf numFmtId="0" fontId="64" fillId="0" borderId="28" xfId="0" applyFont="1" applyBorder="1" applyAlignment="1" applyProtection="1">
      <alignment vertical="center"/>
      <protection hidden="1"/>
    </xf>
    <xf numFmtId="1" fontId="64" fillId="0" borderId="10" xfId="0" applyNumberFormat="1" applyFont="1" applyBorder="1" applyAlignment="1" applyProtection="1">
      <alignment horizontal="right" vertical="center"/>
      <protection hidden="1"/>
    </xf>
    <xf numFmtId="1" fontId="10" fillId="0" borderId="10" xfId="47" applyNumberFormat="1" applyFont="1" applyFill="1" applyBorder="1" applyAlignment="1" applyProtection="1">
      <alignment horizontal="right" vertical="center"/>
      <protection hidden="1"/>
    </xf>
    <xf numFmtId="1" fontId="64" fillId="0" borderId="28" xfId="0" applyNumberFormat="1" applyFont="1" applyBorder="1" applyAlignment="1" applyProtection="1">
      <alignment horizontal="right" vertical="center"/>
      <protection hidden="1"/>
    </xf>
    <xf numFmtId="0" fontId="9" fillId="0" borderId="28" xfId="0" applyFont="1" applyFill="1" applyBorder="1" applyAlignment="1" applyProtection="1">
      <alignment horizontal="center" vertical="center"/>
      <protection hidden="1"/>
    </xf>
    <xf numFmtId="169" fontId="10" fillId="0" borderId="28" xfId="47" applyNumberFormat="1" applyFont="1" applyBorder="1" applyAlignment="1" applyProtection="1">
      <alignment horizontal="center" vertical="center"/>
      <protection hidden="1"/>
    </xf>
    <xf numFmtId="0" fontId="64" fillId="0" borderId="29" xfId="0" applyFont="1" applyFill="1" applyBorder="1" applyAlignment="1" applyProtection="1">
      <alignment horizontal="center" vertical="center"/>
      <protection hidden="1"/>
    </xf>
    <xf numFmtId="0" fontId="64" fillId="0" borderId="29" xfId="0" applyFont="1" applyBorder="1" applyAlignment="1" applyProtection="1">
      <alignment horizontal="center" vertical="center"/>
      <protection hidden="1"/>
    </xf>
    <xf numFmtId="0" fontId="9" fillId="0" borderId="29" xfId="0" applyFont="1" applyFill="1" applyBorder="1" applyAlignment="1" applyProtection="1">
      <alignment horizontal="center" vertical="center"/>
      <protection hidden="1"/>
    </xf>
    <xf numFmtId="169" fontId="10" fillId="0" borderId="29" xfId="47" applyNumberFormat="1" applyFont="1" applyBorder="1" applyAlignment="1" applyProtection="1">
      <alignment horizontal="center" vertical="center"/>
      <protection hidden="1"/>
    </xf>
    <xf numFmtId="0" fontId="64" fillId="0" borderId="29" xfId="0" applyFont="1" applyBorder="1" applyAlignment="1" applyProtection="1">
      <alignment vertical="center"/>
      <protection hidden="1"/>
    </xf>
    <xf numFmtId="1" fontId="10" fillId="0" borderId="29" xfId="47" applyNumberFormat="1" applyFont="1" applyFill="1" applyBorder="1" applyAlignment="1" applyProtection="1">
      <alignment horizontal="right" vertical="center"/>
      <protection hidden="1"/>
    </xf>
    <xf numFmtId="0" fontId="64" fillId="0" borderId="19" xfId="0" applyFont="1" applyBorder="1" applyAlignment="1" applyProtection="1">
      <alignment vertical="center"/>
      <protection hidden="1"/>
    </xf>
    <xf numFmtId="0" fontId="0" fillId="0" borderId="0" xfId="0" applyFill="1" applyAlignment="1" applyProtection="1">
      <alignment/>
      <protection hidden="1"/>
    </xf>
    <xf numFmtId="3" fontId="57" fillId="0" borderId="0" xfId="53" applyNumberFormat="1" applyFill="1" applyBorder="1" applyAlignment="1" applyProtection="1">
      <alignment vertical="center"/>
      <protection hidden="1"/>
    </xf>
    <xf numFmtId="0" fontId="64" fillId="0" borderId="28" xfId="0" applyFont="1" applyFill="1" applyBorder="1" applyAlignment="1" applyProtection="1">
      <alignment horizontal="center" vertical="center"/>
      <protection hidden="1"/>
    </xf>
    <xf numFmtId="167" fontId="4" fillId="34" borderId="0" xfId="0" applyNumberFormat="1" applyFont="1" applyFill="1" applyBorder="1" applyAlignment="1" applyProtection="1">
      <alignment horizontal="center" vertical="center"/>
      <protection hidden="1"/>
    </xf>
    <xf numFmtId="167" fontId="65" fillId="33" borderId="0" xfId="0" applyNumberFormat="1" applyFont="1" applyFill="1" applyBorder="1" applyAlignment="1" applyProtection="1">
      <alignment horizontal="center" vertical="center"/>
      <protection hidden="1"/>
    </xf>
    <xf numFmtId="0" fontId="49" fillId="35" borderId="30" xfId="0" applyFont="1" applyFill="1" applyBorder="1" applyAlignment="1" applyProtection="1">
      <alignment vertical="center"/>
      <protection hidden="1"/>
    </xf>
    <xf numFmtId="0" fontId="49" fillId="35" borderId="31" xfId="0" applyFont="1" applyFill="1" applyBorder="1" applyAlignment="1" applyProtection="1">
      <alignment vertical="center"/>
      <protection hidden="1"/>
    </xf>
    <xf numFmtId="14" fontId="49" fillId="35" borderId="32" xfId="0" applyNumberFormat="1" applyFont="1" applyFill="1" applyBorder="1" applyAlignment="1" applyProtection="1">
      <alignment vertical="center"/>
      <protection hidden="1"/>
    </xf>
    <xf numFmtId="14" fontId="0" fillId="36" borderId="10" xfId="0" applyNumberFormat="1" applyFill="1" applyBorder="1" applyAlignment="1" applyProtection="1">
      <alignment vertical="center"/>
      <protection hidden="1"/>
    </xf>
    <xf numFmtId="3" fontId="0" fillId="36" borderId="10" xfId="0" applyNumberFormat="1" applyFill="1" applyBorder="1" applyAlignment="1" applyProtection="1">
      <alignment vertical="center"/>
      <protection hidden="1"/>
    </xf>
    <xf numFmtId="0" fontId="0" fillId="36" borderId="0" xfId="0" applyFill="1" applyBorder="1" applyAlignment="1" applyProtection="1">
      <alignment/>
      <protection hidden="1"/>
    </xf>
    <xf numFmtId="3" fontId="0" fillId="33" borderId="33" xfId="0" applyNumberFormat="1" applyFill="1" applyBorder="1" applyAlignment="1" applyProtection="1">
      <alignment horizontal="right" vertical="center"/>
      <protection hidden="1"/>
    </xf>
    <xf numFmtId="0" fontId="0" fillId="33" borderId="34" xfId="0" applyFill="1" applyBorder="1" applyAlignment="1" applyProtection="1">
      <alignment vertical="center"/>
      <protection hidden="1"/>
    </xf>
    <xf numFmtId="0" fontId="47" fillId="33" borderId="13" xfId="0" applyFont="1" applyFill="1" applyBorder="1" applyAlignment="1" applyProtection="1">
      <alignment vertical="center"/>
      <protection hidden="1"/>
    </xf>
    <xf numFmtId="0" fontId="0" fillId="33" borderId="35" xfId="0" applyFill="1" applyBorder="1" applyAlignment="1" applyProtection="1">
      <alignment vertical="center"/>
      <protection hidden="1"/>
    </xf>
    <xf numFmtId="3" fontId="47" fillId="33" borderId="15" xfId="0" applyNumberFormat="1" applyFont="1" applyFill="1" applyBorder="1" applyAlignment="1" applyProtection="1">
      <alignment horizontal="right" vertical="center"/>
      <protection hidden="1"/>
    </xf>
    <xf numFmtId="3" fontId="57" fillId="36" borderId="0" xfId="53" applyNumberFormat="1" applyFill="1" applyBorder="1" applyAlignment="1" applyProtection="1">
      <alignment vertical="center"/>
      <protection hidden="1"/>
    </xf>
    <xf numFmtId="1" fontId="10" fillId="0" borderId="28" xfId="47" applyNumberFormat="1" applyFont="1" applyFill="1" applyBorder="1" applyAlignment="1" applyProtection="1">
      <alignment horizontal="right" vertical="center"/>
      <protection hidden="1"/>
    </xf>
    <xf numFmtId="0" fontId="47" fillId="33" borderId="36" xfId="0" applyFont="1" applyFill="1" applyBorder="1" applyAlignment="1" applyProtection="1">
      <alignment horizontal="left" vertical="center"/>
      <protection hidden="1"/>
    </xf>
    <xf numFmtId="0" fontId="47" fillId="33" borderId="37" xfId="0" applyFont="1" applyFill="1" applyBorder="1" applyAlignment="1" applyProtection="1">
      <alignment horizontal="center" vertical="center"/>
      <protection hidden="1"/>
    </xf>
    <xf numFmtId="0" fontId="47" fillId="33" borderId="38" xfId="0" applyFont="1" applyFill="1" applyBorder="1" applyAlignment="1" applyProtection="1">
      <alignment horizontal="center" vertical="center"/>
      <protection hidden="1"/>
    </xf>
    <xf numFmtId="0" fontId="0" fillId="33" borderId="39" xfId="0" applyFill="1" applyBorder="1" applyAlignment="1" applyProtection="1">
      <alignment vertical="center"/>
      <protection hidden="1"/>
    </xf>
    <xf numFmtId="0" fontId="0" fillId="33" borderId="40" xfId="0" applyFill="1" applyBorder="1" applyAlignment="1" applyProtection="1">
      <alignment vertical="center"/>
      <protection hidden="1"/>
    </xf>
    <xf numFmtId="0" fontId="0" fillId="33" borderId="39" xfId="0" applyFont="1" applyFill="1" applyBorder="1" applyAlignment="1" applyProtection="1">
      <alignment vertical="center"/>
      <protection hidden="1"/>
    </xf>
    <xf numFmtId="0" fontId="47" fillId="33" borderId="39" xfId="0" applyFont="1" applyFill="1" applyBorder="1" applyAlignment="1" applyProtection="1">
      <alignment vertical="center"/>
      <protection hidden="1"/>
    </xf>
    <xf numFmtId="0" fontId="0" fillId="33" borderId="41" xfId="0" applyFont="1" applyFill="1" applyBorder="1" applyAlignment="1" applyProtection="1">
      <alignment vertical="center"/>
      <protection hidden="1"/>
    </xf>
    <xf numFmtId="0" fontId="0" fillId="33" borderId="42" xfId="0" applyFill="1" applyBorder="1" applyAlignment="1" applyProtection="1">
      <alignment vertical="center"/>
      <protection hidden="1"/>
    </xf>
    <xf numFmtId="0" fontId="46" fillId="33" borderId="42" xfId="0" applyFont="1" applyFill="1" applyBorder="1" applyAlignment="1" applyProtection="1">
      <alignment vertical="center"/>
      <protection hidden="1"/>
    </xf>
    <xf numFmtId="0" fontId="46" fillId="33" borderId="40" xfId="0" applyFont="1" applyFill="1" applyBorder="1" applyAlignment="1" applyProtection="1">
      <alignment vertical="center"/>
      <protection hidden="1"/>
    </xf>
    <xf numFmtId="167" fontId="46" fillId="33" borderId="43" xfId="0" applyNumberFormat="1" applyFont="1" applyFill="1" applyBorder="1" applyAlignment="1" applyProtection="1">
      <alignment vertical="center"/>
      <protection hidden="1"/>
    </xf>
    <xf numFmtId="167" fontId="46" fillId="33" borderId="40" xfId="0" applyNumberFormat="1" applyFont="1" applyFill="1" applyBorder="1" applyAlignment="1" applyProtection="1">
      <alignment vertical="center"/>
      <protection hidden="1"/>
    </xf>
    <xf numFmtId="167" fontId="0" fillId="0" borderId="0" xfId="0" applyNumberFormat="1" applyFill="1" applyBorder="1" applyAlignment="1">
      <alignment/>
    </xf>
    <xf numFmtId="3" fontId="47" fillId="0" borderId="0" xfId="0" applyNumberFormat="1" applyFont="1" applyFill="1" applyBorder="1" applyAlignment="1">
      <alignment/>
    </xf>
    <xf numFmtId="0" fontId="0" fillId="0" borderId="14" xfId="0" applyFill="1" applyBorder="1" applyAlignment="1">
      <alignment/>
    </xf>
    <xf numFmtId="0" fontId="0" fillId="0" borderId="0" xfId="0" applyFill="1" applyAlignment="1">
      <alignment/>
    </xf>
    <xf numFmtId="0" fontId="47" fillId="33" borderId="35"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0" xfId="0" applyFont="1" applyAlignment="1" applyProtection="1">
      <alignment/>
      <protection hidden="1"/>
    </xf>
    <xf numFmtId="14" fontId="66" fillId="37" borderId="10" xfId="0" applyNumberFormat="1" applyFont="1" applyFill="1" applyBorder="1" applyAlignment="1" applyProtection="1">
      <alignment vertical="center"/>
      <protection locked="0"/>
    </xf>
    <xf numFmtId="49" fontId="66" fillId="37" borderId="10" xfId="0" applyNumberFormat="1" applyFont="1" applyFill="1" applyBorder="1" applyAlignment="1" applyProtection="1">
      <alignment horizontal="right" vertical="center"/>
      <protection locked="0"/>
    </xf>
    <xf numFmtId="1" fontId="66" fillId="37" borderId="10" xfId="0" applyNumberFormat="1" applyFont="1" applyFill="1" applyBorder="1" applyAlignment="1" applyProtection="1">
      <alignment horizontal="right" vertical="center"/>
      <protection locked="0"/>
    </xf>
    <xf numFmtId="3" fontId="0" fillId="36" borderId="17" xfId="0" applyNumberFormat="1" applyFill="1" applyBorder="1" applyAlignment="1" applyProtection="1">
      <alignment/>
      <protection hidden="1"/>
    </xf>
    <xf numFmtId="3" fontId="0" fillId="36" borderId="0" xfId="0" applyNumberFormat="1" applyFill="1" applyBorder="1" applyAlignment="1" applyProtection="1">
      <alignment/>
      <protection hidden="1"/>
    </xf>
    <xf numFmtId="9" fontId="0" fillId="36" borderId="44" xfId="0" applyNumberFormat="1" applyFill="1" applyBorder="1" applyAlignment="1" applyProtection="1">
      <alignment/>
      <protection hidden="1"/>
    </xf>
    <xf numFmtId="9" fontId="0" fillId="36" borderId="45" xfId="0" applyNumberFormat="1" applyFill="1" applyBorder="1" applyAlignment="1" applyProtection="1">
      <alignment/>
      <protection hidden="1"/>
    </xf>
    <xf numFmtId="9" fontId="0" fillId="36" borderId="46" xfId="0" applyNumberFormat="1" applyFill="1" applyBorder="1" applyAlignment="1" applyProtection="1">
      <alignment/>
      <protection hidden="1"/>
    </xf>
    <xf numFmtId="0" fontId="0" fillId="0" borderId="25" xfId="0" applyBorder="1" applyAlignment="1" applyProtection="1">
      <alignment/>
      <protection hidden="1"/>
    </xf>
    <xf numFmtId="3" fontId="47" fillId="36" borderId="0" xfId="0" applyNumberFormat="1" applyFont="1" applyFill="1" applyBorder="1" applyAlignment="1" applyProtection="1">
      <alignment/>
      <protection hidden="1"/>
    </xf>
    <xf numFmtId="3" fontId="47" fillId="36" borderId="14" xfId="0" applyNumberFormat="1" applyFont="1" applyFill="1" applyBorder="1" applyAlignment="1" applyProtection="1">
      <alignment/>
      <protection hidden="1"/>
    </xf>
    <xf numFmtId="3" fontId="47" fillId="36" borderId="0" xfId="0" applyNumberFormat="1" applyFont="1" applyFill="1" applyAlignment="1" applyProtection="1">
      <alignment/>
      <protection hidden="1"/>
    </xf>
    <xf numFmtId="167" fontId="0" fillId="36" borderId="0" xfId="0" applyNumberFormat="1" applyFill="1" applyAlignment="1" applyProtection="1">
      <alignment/>
      <protection hidden="1"/>
    </xf>
    <xf numFmtId="167" fontId="0" fillId="36" borderId="0" xfId="0" applyNumberFormat="1" applyFill="1" applyBorder="1" applyAlignment="1" applyProtection="1">
      <alignment/>
      <protection hidden="1"/>
    </xf>
    <xf numFmtId="0" fontId="4" fillId="36" borderId="0" xfId="0" applyFont="1" applyFill="1" applyAlignment="1" applyProtection="1">
      <alignment/>
      <protection hidden="1"/>
    </xf>
    <xf numFmtId="0" fontId="0" fillId="36" borderId="0" xfId="0" applyFill="1" applyAlignment="1" applyProtection="1">
      <alignment/>
      <protection hidden="1"/>
    </xf>
    <xf numFmtId="0" fontId="0" fillId="36" borderId="10" xfId="0" applyFill="1" applyBorder="1" applyAlignment="1" applyProtection="1">
      <alignment horizontal="center"/>
      <protection hidden="1"/>
    </xf>
    <xf numFmtId="0" fontId="47" fillId="36" borderId="10" xfId="0" applyFont="1" applyFill="1" applyBorder="1" applyAlignment="1" applyProtection="1">
      <alignment horizontal="center"/>
      <protection hidden="1"/>
    </xf>
    <xf numFmtId="14" fontId="4" fillId="0" borderId="0" xfId="0" applyNumberFormat="1" applyFont="1" applyFill="1" applyBorder="1" applyAlignment="1" applyProtection="1">
      <alignment vertical="center"/>
      <protection hidden="1"/>
    </xf>
    <xf numFmtId="14" fontId="4" fillId="0" borderId="0" xfId="0" applyNumberFormat="1" applyFont="1" applyFill="1" applyBorder="1" applyAlignment="1" applyProtection="1">
      <alignment/>
      <protection hidden="1"/>
    </xf>
    <xf numFmtId="0" fontId="4" fillId="33" borderId="0" xfId="54" applyFont="1" applyFill="1" applyBorder="1" applyAlignment="1" applyProtection="1">
      <alignment vertical="center" wrapText="1"/>
      <protection hidden="1"/>
    </xf>
    <xf numFmtId="3" fontId="57" fillId="33" borderId="0" xfId="53" applyNumberFormat="1" applyFill="1" applyBorder="1" applyAlignment="1" applyProtection="1">
      <alignment vertical="center"/>
      <protection hidden="1"/>
    </xf>
    <xf numFmtId="0" fontId="0" fillId="0" borderId="0" xfId="0" applyFill="1" applyBorder="1" applyAlignment="1" applyProtection="1">
      <alignment horizontal="center"/>
      <protection hidden="1"/>
    </xf>
    <xf numFmtId="167" fontId="0" fillId="0" borderId="0" xfId="0" applyNumberFormat="1" applyFill="1" applyBorder="1" applyAlignment="1" applyProtection="1">
      <alignment/>
      <protection hidden="1"/>
    </xf>
    <xf numFmtId="3" fontId="47" fillId="0" borderId="0" xfId="0" applyNumberFormat="1" applyFont="1" applyFill="1" applyBorder="1" applyAlignment="1" applyProtection="1">
      <alignment/>
      <protection hidden="1"/>
    </xf>
    <xf numFmtId="14" fontId="0" fillId="0" borderId="47" xfId="0" applyNumberFormat="1" applyFill="1" applyBorder="1" applyAlignment="1" applyProtection="1">
      <alignment vertical="center"/>
      <protection hidden="1"/>
    </xf>
    <xf numFmtId="0" fontId="64" fillId="33" borderId="30" xfId="0" applyFont="1" applyFill="1" applyBorder="1" applyAlignment="1" applyProtection="1">
      <alignment horizontal="center" vertical="center"/>
      <protection hidden="1"/>
    </xf>
    <xf numFmtId="0" fontId="64" fillId="33" borderId="34" xfId="0" applyFont="1" applyFill="1" applyBorder="1" applyAlignment="1" applyProtection="1">
      <alignment horizontal="center" vertical="center"/>
      <protection hidden="1"/>
    </xf>
    <xf numFmtId="0" fontId="64" fillId="33" borderId="48" xfId="0" applyFont="1" applyFill="1" applyBorder="1" applyAlignment="1" applyProtection="1">
      <alignment horizontal="center" vertical="center"/>
      <protection hidden="1"/>
    </xf>
    <xf numFmtId="0" fontId="9" fillId="33" borderId="34"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vertical="center"/>
      <protection hidden="1"/>
    </xf>
    <xf numFmtId="0" fontId="9" fillId="33" borderId="30" xfId="0" applyFont="1" applyFill="1" applyBorder="1" applyAlignment="1" applyProtection="1">
      <alignment horizontal="center"/>
      <protection hidden="1"/>
    </xf>
    <xf numFmtId="0" fontId="9" fillId="33" borderId="34" xfId="0" applyFont="1" applyFill="1" applyBorder="1" applyAlignment="1" applyProtection="1">
      <alignment horizontal="center"/>
      <protection hidden="1"/>
    </xf>
    <xf numFmtId="0" fontId="9" fillId="33" borderId="48" xfId="0" applyFont="1" applyFill="1" applyBorder="1" applyAlignment="1" applyProtection="1">
      <alignment horizontal="center"/>
      <protection hidden="1"/>
    </xf>
    <xf numFmtId="0" fontId="66" fillId="0" borderId="0" xfId="0" applyFont="1" applyBorder="1" applyAlignment="1" applyProtection="1">
      <alignment vertical="center"/>
      <protection hidden="1"/>
    </xf>
    <xf numFmtId="0" fontId="66" fillId="0" borderId="0" xfId="0" applyFont="1" applyBorder="1" applyAlignment="1" applyProtection="1">
      <alignment/>
      <protection hidden="1"/>
    </xf>
    <xf numFmtId="0" fontId="66" fillId="0" borderId="0" xfId="0" applyFont="1" applyAlignment="1" applyProtection="1">
      <alignment/>
      <protection hidden="1"/>
    </xf>
    <xf numFmtId="3" fontId="66" fillId="0" borderId="0" xfId="0" applyNumberFormat="1" applyFont="1" applyBorder="1" applyAlignment="1" applyProtection="1">
      <alignment vertical="center"/>
      <protection hidden="1"/>
    </xf>
    <xf numFmtId="0" fontId="66" fillId="36" borderId="10" xfId="0" applyFont="1" applyFill="1" applyBorder="1" applyAlignment="1" applyProtection="1">
      <alignment horizontal="center"/>
      <protection hidden="1"/>
    </xf>
    <xf numFmtId="3" fontId="67" fillId="36" borderId="0" xfId="53" applyNumberFormat="1" applyFont="1" applyFill="1" applyBorder="1" applyAlignment="1" applyProtection="1">
      <alignment vertical="center"/>
      <protection hidden="1"/>
    </xf>
    <xf numFmtId="0" fontId="68" fillId="0" borderId="0" xfId="0" applyFont="1" applyBorder="1" applyAlignment="1" applyProtection="1">
      <alignment vertical="center"/>
      <protection hidden="1"/>
    </xf>
    <xf numFmtId="0" fontId="12" fillId="36" borderId="0" xfId="0" applyFont="1" applyFill="1" applyAlignment="1" applyProtection="1">
      <alignment/>
      <protection hidden="1"/>
    </xf>
    <xf numFmtId="167" fontId="66" fillId="36" borderId="0" xfId="0" applyNumberFormat="1" applyFont="1" applyFill="1" applyAlignment="1" applyProtection="1">
      <alignment/>
      <protection hidden="1"/>
    </xf>
    <xf numFmtId="3" fontId="69" fillId="36" borderId="0" xfId="0" applyNumberFormat="1" applyFont="1" applyFill="1" applyAlignment="1" applyProtection="1">
      <alignment/>
      <protection hidden="1"/>
    </xf>
    <xf numFmtId="0" fontId="66" fillId="36" borderId="0" xfId="0" applyFont="1" applyFill="1" applyBorder="1" applyAlignment="1" applyProtection="1">
      <alignment/>
      <protection hidden="1"/>
    </xf>
    <xf numFmtId="0" fontId="66" fillId="36" borderId="0" xfId="0" applyFont="1" applyFill="1" applyAlignment="1" applyProtection="1">
      <alignment/>
      <protection hidden="1"/>
    </xf>
    <xf numFmtId="167" fontId="66" fillId="36" borderId="0" xfId="0" applyNumberFormat="1" applyFont="1" applyFill="1" applyBorder="1" applyAlignment="1" applyProtection="1">
      <alignment/>
      <protection hidden="1"/>
    </xf>
    <xf numFmtId="3" fontId="69" fillId="36" borderId="0" xfId="0" applyNumberFormat="1" applyFont="1" applyFill="1" applyBorder="1" applyAlignment="1" applyProtection="1">
      <alignment/>
      <protection hidden="1"/>
    </xf>
    <xf numFmtId="0" fontId="66" fillId="0" borderId="0" xfId="0" applyFont="1" applyFill="1" applyBorder="1" applyAlignment="1" applyProtection="1">
      <alignment vertical="center"/>
      <protection hidden="1"/>
    </xf>
    <xf numFmtId="3" fontId="67" fillId="0" borderId="0" xfId="53" applyNumberFormat="1" applyFont="1" applyFill="1" applyBorder="1" applyAlignment="1" applyProtection="1">
      <alignment vertical="center"/>
      <protection hidden="1"/>
    </xf>
    <xf numFmtId="0" fontId="69" fillId="36" borderId="10" xfId="0" applyFont="1" applyFill="1" applyBorder="1" applyAlignment="1" applyProtection="1">
      <alignment horizontal="center"/>
      <protection hidden="1"/>
    </xf>
    <xf numFmtId="166" fontId="14" fillId="0" borderId="0" xfId="47" applyFont="1" applyBorder="1" applyAlignment="1" applyProtection="1">
      <alignment horizontal="center" vertical="center"/>
      <protection hidden="1"/>
    </xf>
    <xf numFmtId="0" fontId="68" fillId="33" borderId="0" xfId="0" applyFont="1" applyFill="1" applyAlignment="1" applyProtection="1">
      <alignment/>
      <protection hidden="1"/>
    </xf>
    <xf numFmtId="0" fontId="68" fillId="33" borderId="0" xfId="0" applyFont="1" applyFill="1" applyBorder="1" applyAlignment="1" applyProtection="1">
      <alignment horizontal="right" vertical="center"/>
      <protection hidden="1"/>
    </xf>
    <xf numFmtId="3" fontId="66" fillId="0" borderId="0" xfId="0" applyNumberFormat="1" applyFont="1" applyFill="1" applyBorder="1" applyAlignment="1" applyProtection="1">
      <alignment vertical="center"/>
      <protection hidden="1"/>
    </xf>
    <xf numFmtId="0" fontId="66" fillId="0" borderId="0" xfId="0" applyFont="1" applyFill="1" applyBorder="1" applyAlignment="1" applyProtection="1">
      <alignment/>
      <protection hidden="1"/>
    </xf>
    <xf numFmtId="0" fontId="12" fillId="0" borderId="0" xfId="0" applyFont="1" applyAlignment="1" applyProtection="1">
      <alignment/>
      <protection hidden="1"/>
    </xf>
    <xf numFmtId="0" fontId="12" fillId="0" borderId="0" xfId="0" applyFont="1" applyBorder="1" applyAlignment="1" applyProtection="1">
      <alignment vertical="center"/>
      <protection hidden="1"/>
    </xf>
    <xf numFmtId="3" fontId="66" fillId="36" borderId="17" xfId="0" applyNumberFormat="1" applyFont="1" applyFill="1" applyBorder="1" applyAlignment="1" applyProtection="1">
      <alignment/>
      <protection hidden="1"/>
    </xf>
    <xf numFmtId="3" fontId="66" fillId="36" borderId="0" xfId="0" applyNumberFormat="1" applyFont="1" applyFill="1" applyBorder="1" applyAlignment="1" applyProtection="1">
      <alignment/>
      <protection hidden="1"/>
    </xf>
    <xf numFmtId="0" fontId="66" fillId="0" borderId="10" xfId="0" applyFont="1" applyBorder="1" applyAlignment="1" applyProtection="1">
      <alignment horizontal="center" vertical="center"/>
      <protection hidden="1"/>
    </xf>
    <xf numFmtId="170" fontId="66" fillId="0" borderId="10" xfId="0" applyNumberFormat="1" applyFont="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66" fillId="0" borderId="10" xfId="0" applyFont="1" applyBorder="1" applyAlignment="1" applyProtection="1">
      <alignment vertical="center"/>
      <protection hidden="1"/>
    </xf>
    <xf numFmtId="1" fontId="66" fillId="0" borderId="10" xfId="0" applyNumberFormat="1" applyFont="1" applyBorder="1" applyAlignment="1" applyProtection="1">
      <alignment horizontal="right" vertical="center"/>
      <protection hidden="1"/>
    </xf>
    <xf numFmtId="0" fontId="15" fillId="0" borderId="0" xfId="54" applyFont="1" applyFill="1" applyBorder="1" applyAlignment="1" applyProtection="1">
      <alignment vertical="center" wrapText="1"/>
      <protection hidden="1"/>
    </xf>
    <xf numFmtId="169" fontId="13" fillId="0" borderId="10" xfId="47" applyNumberFormat="1" applyFont="1" applyBorder="1" applyAlignment="1" applyProtection="1">
      <alignment horizontal="center" vertical="center"/>
      <protection hidden="1"/>
    </xf>
    <xf numFmtId="0" fontId="70" fillId="0" borderId="0" xfId="54" applyFont="1" applyFill="1" applyBorder="1" applyAlignment="1" applyProtection="1">
      <alignment vertical="center" wrapText="1"/>
      <protection hidden="1"/>
    </xf>
    <xf numFmtId="0" fontId="66" fillId="0" borderId="10" xfId="0" applyFont="1" applyFill="1" applyBorder="1" applyAlignment="1" applyProtection="1">
      <alignment horizontal="center" vertical="center"/>
      <protection hidden="1"/>
    </xf>
    <xf numFmtId="0" fontId="66" fillId="0" borderId="27" xfId="0" applyFont="1" applyBorder="1" applyAlignment="1" applyProtection="1">
      <alignment vertical="center"/>
      <protection hidden="1"/>
    </xf>
    <xf numFmtId="1" fontId="13" fillId="0" borderId="10" xfId="47" applyNumberFormat="1" applyFont="1" applyFill="1" applyBorder="1" applyAlignment="1" applyProtection="1">
      <alignment horizontal="right" vertical="center"/>
      <protection hidden="1"/>
    </xf>
    <xf numFmtId="169" fontId="13" fillId="0" borderId="10" xfId="47" applyNumberFormat="1" applyFont="1" applyFill="1" applyBorder="1" applyAlignment="1" applyProtection="1">
      <alignment horizontal="center" vertical="center"/>
      <protection hidden="1"/>
    </xf>
    <xf numFmtId="170" fontId="66" fillId="0" borderId="28" xfId="0" applyNumberFormat="1" applyFont="1" applyBorder="1" applyAlignment="1" applyProtection="1">
      <alignment horizontal="center" vertical="center"/>
      <protection hidden="1"/>
    </xf>
    <xf numFmtId="0" fontId="66" fillId="0" borderId="28" xfId="0" applyFont="1" applyFill="1" applyBorder="1" applyAlignment="1" applyProtection="1">
      <alignment horizontal="center" vertical="center"/>
      <protection hidden="1"/>
    </xf>
    <xf numFmtId="0" fontId="66" fillId="0" borderId="28" xfId="0" applyFont="1" applyBorder="1" applyAlignment="1" applyProtection="1">
      <alignment vertical="center"/>
      <protection hidden="1"/>
    </xf>
    <xf numFmtId="0" fontId="66" fillId="0" borderId="19" xfId="0" applyFont="1" applyBorder="1" applyAlignment="1" applyProtection="1">
      <alignment vertical="center"/>
      <protection hidden="1"/>
    </xf>
    <xf numFmtId="1" fontId="13" fillId="0" borderId="28" xfId="47" applyNumberFormat="1" applyFont="1" applyFill="1" applyBorder="1" applyAlignment="1" applyProtection="1">
      <alignment horizontal="right" vertical="center"/>
      <protection hidden="1"/>
    </xf>
    <xf numFmtId="1" fontId="66" fillId="0" borderId="28" xfId="0" applyNumberFormat="1" applyFont="1" applyBorder="1" applyAlignment="1" applyProtection="1">
      <alignment horizontal="right" vertical="center"/>
      <protection hidden="1"/>
    </xf>
    <xf numFmtId="9" fontId="66" fillId="36" borderId="0" xfId="0" applyNumberFormat="1" applyFont="1" applyFill="1" applyBorder="1" applyAlignment="1" applyProtection="1">
      <alignment/>
      <protection hidden="1"/>
    </xf>
    <xf numFmtId="9" fontId="66" fillId="36" borderId="17" xfId="0" applyNumberFormat="1" applyFont="1" applyFill="1" applyBorder="1" applyAlignment="1" applyProtection="1">
      <alignment/>
      <protection hidden="1"/>
    </xf>
    <xf numFmtId="3" fontId="68" fillId="0" borderId="14" xfId="0" applyNumberFormat="1" applyFont="1" applyFill="1" applyBorder="1" applyAlignment="1" applyProtection="1">
      <alignment/>
      <protection hidden="1"/>
    </xf>
    <xf numFmtId="9" fontId="66" fillId="36" borderId="14" xfId="0" applyNumberFormat="1" applyFont="1" applyFill="1" applyBorder="1" applyAlignment="1" applyProtection="1">
      <alignment/>
      <protection hidden="1"/>
    </xf>
    <xf numFmtId="14" fontId="0" fillId="0" borderId="0" xfId="0" applyNumberFormat="1" applyFill="1" applyBorder="1" applyAlignment="1" applyProtection="1">
      <alignment horizontal="center"/>
      <protection hidden="1"/>
    </xf>
    <xf numFmtId="14" fontId="66" fillId="0" borderId="0" xfId="0" applyNumberFormat="1" applyFont="1" applyFill="1" applyBorder="1" applyAlignment="1" applyProtection="1">
      <alignment horizontal="center"/>
      <protection hidden="1"/>
    </xf>
    <xf numFmtId="0" fontId="66" fillId="0" borderId="0" xfId="0" applyFont="1" applyAlignment="1" applyProtection="1">
      <alignment horizontal="center"/>
      <protection hidden="1"/>
    </xf>
    <xf numFmtId="0" fontId="0" fillId="0" borderId="0" xfId="0" applyAlignment="1" applyProtection="1">
      <alignment horizontal="center"/>
      <protection hidden="1"/>
    </xf>
    <xf numFmtId="167" fontId="0" fillId="0" borderId="20" xfId="0" applyNumberFormat="1" applyFill="1" applyBorder="1" applyAlignment="1" applyProtection="1">
      <alignment/>
      <protection hidden="1"/>
    </xf>
    <xf numFmtId="0" fontId="0" fillId="0" borderId="20" xfId="0" applyFill="1" applyBorder="1" applyAlignment="1" applyProtection="1">
      <alignment horizontal="center"/>
      <protection hidden="1"/>
    </xf>
    <xf numFmtId="3" fontId="47" fillId="0" borderId="20" xfId="0" applyNumberFormat="1" applyFont="1" applyFill="1" applyBorder="1" applyAlignment="1" applyProtection="1">
      <alignment/>
      <protection hidden="1"/>
    </xf>
    <xf numFmtId="0" fontId="0" fillId="0" borderId="20" xfId="0" applyFill="1" applyBorder="1" applyAlignment="1" applyProtection="1">
      <alignment/>
      <protection hidden="1"/>
    </xf>
    <xf numFmtId="0" fontId="66" fillId="0" borderId="0" xfId="0" applyFont="1" applyFill="1" applyBorder="1" applyAlignment="1" applyProtection="1">
      <alignment horizontal="center"/>
      <protection hidden="1"/>
    </xf>
    <xf numFmtId="167" fontId="66" fillId="0" borderId="0" xfId="0" applyNumberFormat="1" applyFont="1" applyFill="1" applyBorder="1" applyAlignment="1" applyProtection="1">
      <alignment/>
      <protection hidden="1"/>
    </xf>
    <xf numFmtId="3" fontId="47" fillId="0" borderId="17" xfId="0" applyNumberFormat="1" applyFont="1" applyFill="1" applyBorder="1" applyAlignment="1" applyProtection="1">
      <alignment/>
      <protection hidden="1"/>
    </xf>
    <xf numFmtId="0" fontId="0" fillId="0" borderId="17" xfId="0" applyFill="1" applyBorder="1" applyAlignment="1" applyProtection="1">
      <alignment/>
      <protection hidden="1"/>
    </xf>
    <xf numFmtId="0" fontId="69" fillId="0" borderId="0" xfId="0" applyFont="1" applyAlignment="1" applyProtection="1">
      <alignment/>
      <protection hidden="1"/>
    </xf>
    <xf numFmtId="0" fontId="69" fillId="0" borderId="0" xfId="0" applyFont="1" applyBorder="1" applyAlignment="1" applyProtection="1">
      <alignment/>
      <protection hidden="1"/>
    </xf>
    <xf numFmtId="0" fontId="69" fillId="0" borderId="0" xfId="0" applyFont="1" applyBorder="1" applyAlignment="1" applyProtection="1">
      <alignment horizontal="left"/>
      <protection hidden="1"/>
    </xf>
    <xf numFmtId="0" fontId="66" fillId="0" borderId="0" xfId="0" applyFont="1" applyAlignment="1" applyProtection="1">
      <alignment/>
      <protection hidden="1"/>
    </xf>
    <xf numFmtId="0" fontId="66" fillId="0" borderId="22" xfId="0" applyFont="1" applyBorder="1" applyAlignment="1" applyProtection="1">
      <alignment/>
      <protection hidden="1"/>
    </xf>
    <xf numFmtId="3" fontId="66" fillId="0" borderId="0" xfId="0" applyNumberFormat="1" applyFont="1" applyAlignment="1" applyProtection="1">
      <alignment/>
      <protection hidden="1"/>
    </xf>
    <xf numFmtId="0" fontId="0" fillId="0" borderId="23" xfId="0" applyBorder="1" applyAlignment="1" applyProtection="1">
      <alignment/>
      <protection hidden="1"/>
    </xf>
    <xf numFmtId="3" fontId="0" fillId="0" borderId="0" xfId="0" applyNumberFormat="1" applyBorder="1" applyAlignment="1" applyProtection="1">
      <alignment/>
      <protection hidden="1"/>
    </xf>
    <xf numFmtId="0" fontId="66" fillId="0" borderId="24" xfId="0" applyFont="1" applyBorder="1" applyAlignment="1" applyProtection="1">
      <alignment/>
      <protection hidden="1"/>
    </xf>
    <xf numFmtId="0" fontId="66" fillId="0" borderId="22" xfId="0" applyFont="1" applyFill="1" applyBorder="1" applyAlignment="1" applyProtection="1">
      <alignment/>
      <protection hidden="1"/>
    </xf>
    <xf numFmtId="0" fontId="66" fillId="0" borderId="21" xfId="0" applyFont="1" applyFill="1" applyBorder="1" applyAlignment="1" applyProtection="1">
      <alignment/>
      <protection hidden="1"/>
    </xf>
    <xf numFmtId="0" fontId="66" fillId="0" borderId="21" xfId="0" applyFont="1" applyFill="1" applyBorder="1" applyAlignment="1" applyProtection="1">
      <alignment horizontal="right"/>
      <protection hidden="1"/>
    </xf>
    <xf numFmtId="0" fontId="66" fillId="0" borderId="23" xfId="0" applyFont="1" applyBorder="1" applyAlignment="1" applyProtection="1">
      <alignment/>
      <protection hidden="1"/>
    </xf>
    <xf numFmtId="0" fontId="66" fillId="0" borderId="23" xfId="0" applyFont="1" applyFill="1" applyBorder="1" applyAlignment="1" applyProtection="1">
      <alignment horizontal="right"/>
      <protection hidden="1"/>
    </xf>
    <xf numFmtId="0" fontId="66" fillId="0" borderId="20" xfId="0" applyFont="1" applyFill="1" applyBorder="1" applyAlignment="1" applyProtection="1">
      <alignment/>
      <protection hidden="1"/>
    </xf>
    <xf numFmtId="0" fontId="66" fillId="0" borderId="24" xfId="0" applyFont="1" applyFill="1" applyBorder="1" applyAlignment="1" applyProtection="1">
      <alignment horizontal="right"/>
      <protection hidden="1"/>
    </xf>
    <xf numFmtId="3" fontId="0" fillId="0" borderId="0" xfId="0" applyNumberFormat="1" applyAlignment="1" applyProtection="1">
      <alignment/>
      <protection hidden="1"/>
    </xf>
    <xf numFmtId="0" fontId="66" fillId="0" borderId="16" xfId="0" applyFont="1" applyBorder="1" applyAlignment="1" applyProtection="1">
      <alignment/>
      <protection hidden="1"/>
    </xf>
    <xf numFmtId="0" fontId="66" fillId="0" borderId="17" xfId="0" applyFont="1" applyBorder="1" applyAlignment="1" applyProtection="1">
      <alignment/>
      <protection hidden="1"/>
    </xf>
    <xf numFmtId="0" fontId="66" fillId="0" borderId="17" xfId="0" applyFont="1" applyBorder="1" applyAlignment="1" applyProtection="1">
      <alignment horizontal="right"/>
      <protection hidden="1"/>
    </xf>
    <xf numFmtId="0" fontId="66" fillId="0" borderId="44" xfId="0" applyFont="1" applyBorder="1" applyAlignment="1" applyProtection="1">
      <alignment/>
      <protection hidden="1"/>
    </xf>
    <xf numFmtId="0" fontId="66" fillId="0" borderId="18" xfId="0" applyFont="1" applyBorder="1" applyAlignment="1" applyProtection="1">
      <alignment/>
      <protection hidden="1"/>
    </xf>
    <xf numFmtId="3" fontId="66" fillId="38" borderId="0" xfId="0" applyNumberFormat="1" applyFont="1" applyFill="1" applyBorder="1" applyAlignment="1" applyProtection="1">
      <alignment/>
      <protection hidden="1"/>
    </xf>
    <xf numFmtId="0" fontId="66" fillId="0" borderId="45" xfId="0" applyFont="1" applyBorder="1" applyAlignment="1" applyProtection="1">
      <alignment/>
      <protection hidden="1"/>
    </xf>
    <xf numFmtId="0" fontId="66" fillId="0" borderId="19" xfId="0" applyFont="1" applyBorder="1" applyAlignment="1" applyProtection="1">
      <alignment/>
      <protection hidden="1"/>
    </xf>
    <xf numFmtId="0" fontId="66" fillId="0" borderId="14" xfId="0" applyFont="1" applyBorder="1" applyAlignment="1" applyProtection="1">
      <alignment/>
      <protection hidden="1"/>
    </xf>
    <xf numFmtId="3" fontId="66" fillId="38" borderId="14" xfId="0" applyNumberFormat="1" applyFont="1" applyFill="1" applyBorder="1" applyAlignment="1" applyProtection="1">
      <alignment/>
      <protection hidden="1"/>
    </xf>
    <xf numFmtId="0" fontId="66" fillId="0" borderId="46" xfId="0" applyFont="1" applyBorder="1" applyAlignment="1" applyProtection="1">
      <alignment/>
      <protection hidden="1"/>
    </xf>
    <xf numFmtId="0" fontId="66" fillId="0" borderId="0" xfId="0" applyFont="1" applyFill="1" applyAlignment="1" applyProtection="1">
      <alignment/>
      <protection hidden="1"/>
    </xf>
    <xf numFmtId="3" fontId="46" fillId="33" borderId="14" xfId="0" applyNumberFormat="1" applyFont="1" applyFill="1" applyBorder="1" applyAlignment="1" applyProtection="1">
      <alignment/>
      <protection hidden="1"/>
    </xf>
    <xf numFmtId="3" fontId="0" fillId="39" borderId="0" xfId="0" applyNumberFormat="1" applyFill="1" applyBorder="1" applyAlignment="1">
      <alignment/>
    </xf>
    <xf numFmtId="3" fontId="0" fillId="36" borderId="14" xfId="0" applyNumberFormat="1" applyFill="1" applyBorder="1" applyAlignment="1">
      <alignment/>
    </xf>
    <xf numFmtId="0" fontId="4" fillId="0" borderId="0" xfId="54" applyFont="1" applyFill="1" applyBorder="1" applyAlignment="1" applyProtection="1">
      <alignment vertical="center" wrapText="1"/>
      <protection hidden="1"/>
    </xf>
    <xf numFmtId="3" fontId="0" fillId="38" borderId="0" xfId="0" applyNumberFormat="1" applyFill="1" applyBorder="1" applyAlignment="1">
      <alignment/>
    </xf>
    <xf numFmtId="3" fontId="0" fillId="38" borderId="14" xfId="0" applyNumberFormat="1" applyFill="1" applyBorder="1" applyAlignment="1">
      <alignment/>
    </xf>
    <xf numFmtId="3" fontId="0" fillId="39" borderId="14" xfId="0" applyNumberFormat="1" applyFill="1" applyBorder="1" applyAlignment="1">
      <alignment/>
    </xf>
    <xf numFmtId="0" fontId="66" fillId="0" borderId="21" xfId="0" applyFont="1" applyBorder="1" applyAlignment="1" applyProtection="1">
      <alignment/>
      <protection hidden="1"/>
    </xf>
    <xf numFmtId="0" fontId="66" fillId="0" borderId="20" xfId="0" applyFont="1" applyBorder="1" applyAlignment="1" applyProtection="1">
      <alignment/>
      <protection hidden="1"/>
    </xf>
    <xf numFmtId="0" fontId="69" fillId="0" borderId="0" xfId="0" applyFont="1" applyFill="1" applyBorder="1" applyAlignment="1" applyProtection="1">
      <alignment horizontal="center"/>
      <protection hidden="1"/>
    </xf>
    <xf numFmtId="0" fontId="66" fillId="0" borderId="0" xfId="0" applyFont="1" applyFill="1" applyAlignment="1" applyProtection="1">
      <alignment/>
      <protection hidden="1"/>
    </xf>
    <xf numFmtId="3" fontId="69" fillId="0" borderId="0" xfId="0" applyNumberFormat="1" applyFont="1" applyFill="1" applyBorder="1" applyAlignment="1" applyProtection="1">
      <alignment horizontal="right" vertical="center"/>
      <protection hidden="1"/>
    </xf>
    <xf numFmtId="3" fontId="69" fillId="0" borderId="0" xfId="0" applyNumberFormat="1" applyFont="1" applyFill="1" applyBorder="1" applyAlignment="1" applyProtection="1">
      <alignment horizontal="right"/>
      <protection hidden="1"/>
    </xf>
    <xf numFmtId="3" fontId="66" fillId="0" borderId="0" xfId="0" applyNumberFormat="1" applyFont="1" applyFill="1" applyBorder="1" applyAlignment="1" applyProtection="1">
      <alignment/>
      <protection hidden="1"/>
    </xf>
    <xf numFmtId="3" fontId="66" fillId="0" borderId="0" xfId="0" applyNumberFormat="1" applyFont="1" applyFill="1" applyBorder="1" applyAlignment="1" applyProtection="1">
      <alignment horizontal="right" vertical="center"/>
      <protection hidden="1"/>
    </xf>
    <xf numFmtId="0" fontId="66" fillId="0" borderId="0" xfId="0" applyFont="1" applyAlignment="1" applyProtection="1">
      <alignment horizontal="left"/>
      <protection hidden="1"/>
    </xf>
    <xf numFmtId="0" fontId="9" fillId="33" borderId="48" xfId="0" applyFont="1" applyFill="1" applyBorder="1" applyAlignment="1" applyProtection="1">
      <alignment horizontal="center" vertical="center"/>
      <protection hidden="1"/>
    </xf>
    <xf numFmtId="0" fontId="64" fillId="0" borderId="48" xfId="0" applyFont="1" applyBorder="1" applyAlignment="1" applyProtection="1">
      <alignment horizontal="center"/>
      <protection hidden="1"/>
    </xf>
    <xf numFmtId="1" fontId="0" fillId="33" borderId="42" xfId="0" applyNumberFormat="1" applyFill="1" applyBorder="1" applyAlignment="1" applyProtection="1">
      <alignment horizontal="right" vertical="center"/>
      <protection hidden="1"/>
    </xf>
    <xf numFmtId="1" fontId="66" fillId="33" borderId="0" xfId="0" applyNumberFormat="1" applyFont="1" applyFill="1" applyBorder="1" applyAlignment="1" applyProtection="1">
      <alignment horizontal="right" vertical="center"/>
      <protection hidden="1"/>
    </xf>
    <xf numFmtId="0" fontId="47" fillId="0" borderId="0" xfId="0" applyFont="1" applyAlignment="1" applyProtection="1">
      <alignment/>
      <protection hidden="1"/>
    </xf>
    <xf numFmtId="0" fontId="0" fillId="0" borderId="39" xfId="0" applyBorder="1" applyAlignment="1" applyProtection="1">
      <alignment/>
      <protection hidden="1"/>
    </xf>
    <xf numFmtId="1" fontId="0" fillId="33" borderId="0" xfId="0" applyNumberFormat="1" applyFill="1" applyBorder="1" applyAlignment="1" applyProtection="1">
      <alignment vertical="center"/>
      <protection hidden="1"/>
    </xf>
    <xf numFmtId="1" fontId="66" fillId="37" borderId="10" xfId="0" applyNumberFormat="1" applyFont="1" applyFill="1" applyBorder="1" applyAlignment="1" applyProtection="1">
      <alignment vertical="center"/>
      <protection locked="0"/>
    </xf>
    <xf numFmtId="14" fontId="0" fillId="0" borderId="0" xfId="0" applyNumberFormat="1" applyFill="1" applyBorder="1" applyAlignment="1" applyProtection="1">
      <alignment/>
      <protection hidden="1"/>
    </xf>
    <xf numFmtId="1" fontId="64" fillId="0" borderId="29" xfId="0" applyNumberFormat="1" applyFont="1" applyBorder="1" applyAlignment="1" applyProtection="1">
      <alignment horizontal="right" vertical="center"/>
      <protection hidden="1"/>
    </xf>
    <xf numFmtId="0" fontId="64" fillId="0" borderId="49" xfId="0" applyFont="1" applyBorder="1" applyAlignment="1" applyProtection="1">
      <alignment horizontal="center" vertical="center"/>
      <protection hidden="1"/>
    </xf>
    <xf numFmtId="0" fontId="64" fillId="0" borderId="49" xfId="0" applyFont="1" applyBorder="1" applyAlignment="1" applyProtection="1">
      <alignment horizontal="center" vertical="center"/>
      <protection hidden="1"/>
    </xf>
    <xf numFmtId="0" fontId="9" fillId="0" borderId="49" xfId="0" applyFont="1" applyFill="1" applyBorder="1" applyAlignment="1" applyProtection="1">
      <alignment horizontal="center" vertical="center"/>
      <protection hidden="1"/>
    </xf>
    <xf numFmtId="169" fontId="10" fillId="0" borderId="49" xfId="47" applyNumberFormat="1" applyFont="1" applyBorder="1" applyAlignment="1" applyProtection="1">
      <alignment horizontal="center" vertical="center"/>
      <protection hidden="1"/>
    </xf>
    <xf numFmtId="0" fontId="64" fillId="0" borderId="49" xfId="0" applyFont="1" applyFill="1" applyBorder="1" applyAlignment="1" applyProtection="1">
      <alignment horizontal="center" vertical="center"/>
      <protection hidden="1"/>
    </xf>
    <xf numFmtId="0" fontId="64" fillId="0" borderId="49" xfId="0" applyFont="1" applyBorder="1" applyAlignment="1" applyProtection="1">
      <alignment vertical="center"/>
      <protection hidden="1"/>
    </xf>
    <xf numFmtId="0" fontId="64" fillId="0" borderId="16" xfId="0" applyFont="1" applyBorder="1" applyAlignment="1" applyProtection="1">
      <alignment vertical="center"/>
      <protection hidden="1"/>
    </xf>
    <xf numFmtId="1" fontId="10" fillId="0" borderId="49" xfId="47" applyNumberFormat="1" applyFont="1" applyFill="1" applyBorder="1" applyAlignment="1" applyProtection="1">
      <alignment horizontal="right" vertical="center"/>
      <protection hidden="1"/>
    </xf>
    <xf numFmtId="1" fontId="64" fillId="0" borderId="49" xfId="0" applyNumberFormat="1" applyFont="1" applyBorder="1" applyAlignment="1" applyProtection="1">
      <alignment horizontal="right" vertical="center"/>
      <protection hidden="1"/>
    </xf>
    <xf numFmtId="0" fontId="66" fillId="0" borderId="49" xfId="0" applyFont="1" applyBorder="1" applyAlignment="1" applyProtection="1">
      <alignment horizontal="center" vertical="center"/>
      <protection hidden="1"/>
    </xf>
    <xf numFmtId="170" fontId="66" fillId="0" borderId="49" xfId="0" applyNumberFormat="1" applyFont="1" applyBorder="1" applyAlignment="1" applyProtection="1">
      <alignment horizontal="center" vertical="center"/>
      <protection hidden="1"/>
    </xf>
    <xf numFmtId="0" fontId="12" fillId="0" borderId="49" xfId="0" applyFont="1" applyFill="1" applyBorder="1" applyAlignment="1" applyProtection="1">
      <alignment horizontal="center" vertical="center"/>
      <protection hidden="1"/>
    </xf>
    <xf numFmtId="169" fontId="13" fillId="0" borderId="49" xfId="47" applyNumberFormat="1" applyFont="1" applyBorder="1" applyAlignment="1" applyProtection="1">
      <alignment horizontal="center" vertical="center"/>
      <protection hidden="1"/>
    </xf>
    <xf numFmtId="0" fontId="66" fillId="0" borderId="49" xfId="0" applyFont="1" applyFill="1" applyBorder="1" applyAlignment="1" applyProtection="1">
      <alignment horizontal="center" vertical="center"/>
      <protection hidden="1"/>
    </xf>
    <xf numFmtId="0" fontId="66" fillId="0" borderId="49" xfId="0" applyFont="1" applyBorder="1" applyAlignment="1" applyProtection="1">
      <alignment vertical="center"/>
      <protection hidden="1"/>
    </xf>
    <xf numFmtId="0" fontId="66" fillId="0" borderId="16" xfId="0" applyFont="1" applyBorder="1" applyAlignment="1" applyProtection="1">
      <alignment vertical="center"/>
      <protection hidden="1"/>
    </xf>
    <xf numFmtId="1" fontId="13" fillId="0" borderId="49" xfId="47" applyNumberFormat="1" applyFont="1" applyFill="1" applyBorder="1" applyAlignment="1" applyProtection="1">
      <alignment horizontal="right" vertical="center"/>
      <protection hidden="1"/>
    </xf>
    <xf numFmtId="1" fontId="66" fillId="0" borderId="49" xfId="0" applyNumberFormat="1" applyFont="1" applyBorder="1" applyAlignment="1" applyProtection="1">
      <alignment horizontal="right" vertical="center"/>
      <protection hidden="1"/>
    </xf>
    <xf numFmtId="3" fontId="66" fillId="0" borderId="0" xfId="0" applyNumberFormat="1" applyFont="1" applyAlignment="1" applyProtection="1">
      <alignment/>
      <protection hidden="1"/>
    </xf>
    <xf numFmtId="0" fontId="48" fillId="0" borderId="0" xfId="36" applyFill="1" applyBorder="1" applyAlignment="1">
      <alignment/>
    </xf>
    <xf numFmtId="0" fontId="66" fillId="0" borderId="49" xfId="0" applyFont="1" applyBorder="1" applyAlignment="1" applyProtection="1">
      <alignment horizontal="center" vertical="center"/>
      <protection hidden="1"/>
    </xf>
    <xf numFmtId="0" fontId="64" fillId="0" borderId="49" xfId="0" applyFont="1" applyBorder="1" applyAlignment="1" applyProtection="1">
      <alignment horizontal="center" vertical="center"/>
      <protection hidden="1"/>
    </xf>
    <xf numFmtId="0" fontId="66" fillId="0" borderId="49" xfId="0" applyFont="1" applyFill="1" applyBorder="1" applyAlignment="1" applyProtection="1">
      <alignment vertical="center"/>
      <protection hidden="1"/>
    </xf>
    <xf numFmtId="0" fontId="64" fillId="0" borderId="49" xfId="0"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64" fillId="0" borderId="49"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66" fillId="0" borderId="10" xfId="0" applyFont="1" applyFill="1" applyBorder="1" applyAlignment="1" applyProtection="1">
      <alignment vertical="center"/>
      <protection hidden="1"/>
    </xf>
    <xf numFmtId="0" fontId="12" fillId="0" borderId="19" xfId="0" applyFont="1" applyFill="1" applyBorder="1" applyAlignment="1" applyProtection="1">
      <alignment horizontal="center" vertical="center"/>
      <protection hidden="1"/>
    </xf>
    <xf numFmtId="0" fontId="12" fillId="0" borderId="27" xfId="0" applyFont="1" applyFill="1" applyBorder="1" applyAlignment="1" applyProtection="1">
      <alignment horizontal="center" vertical="center"/>
      <protection hidden="1"/>
    </xf>
    <xf numFmtId="0" fontId="66" fillId="0" borderId="50" xfId="0" applyFont="1" applyBorder="1" applyAlignment="1" applyProtection="1">
      <alignment horizontal="center" vertical="center"/>
      <protection hidden="1"/>
    </xf>
    <xf numFmtId="0" fontId="66" fillId="0" borderId="51" xfId="0" applyFont="1" applyBorder="1" applyAlignment="1" applyProtection="1">
      <alignment horizontal="center" vertical="center"/>
      <protection hidden="1"/>
    </xf>
    <xf numFmtId="166" fontId="8" fillId="40" borderId="0" xfId="47" applyFont="1" applyFill="1" applyBorder="1" applyAlignment="1" applyProtection="1">
      <alignment horizontal="center" vertical="center"/>
      <protection hidden="1"/>
    </xf>
    <xf numFmtId="168" fontId="7" fillId="40" borderId="0" xfId="47" applyNumberFormat="1" applyFont="1" applyFill="1" applyBorder="1" applyAlignment="1" applyProtection="1">
      <alignment vertical="center"/>
      <protection hidden="1"/>
    </xf>
    <xf numFmtId="0" fontId="46" fillId="40" borderId="0" xfId="0" applyFont="1" applyFill="1" applyBorder="1" applyAlignment="1" applyProtection="1">
      <alignment vertical="center"/>
      <protection hidden="1"/>
    </xf>
    <xf numFmtId="0" fontId="66" fillId="0" borderId="49" xfId="0" applyFont="1" applyBorder="1" applyAlignment="1" applyProtection="1">
      <alignment horizontal="center" vertical="center"/>
      <protection hidden="1"/>
    </xf>
    <xf numFmtId="0" fontId="64" fillId="0" borderId="49" xfId="0" applyFont="1" applyBorder="1" applyAlignment="1" applyProtection="1">
      <alignment horizontal="center" vertical="center"/>
      <protection hidden="1"/>
    </xf>
    <xf numFmtId="169" fontId="13" fillId="0" borderId="28" xfId="47" applyNumberFormat="1" applyFont="1" applyBorder="1" applyAlignment="1" applyProtection="1">
      <alignment horizontal="center" vertical="center"/>
      <protection hidden="1"/>
    </xf>
    <xf numFmtId="168" fontId="13" fillId="4" borderId="0" xfId="47" applyNumberFormat="1" applyFont="1" applyFill="1" applyBorder="1" applyAlignment="1" applyProtection="1">
      <alignment vertical="center"/>
      <protection hidden="1"/>
    </xf>
    <xf numFmtId="0" fontId="68" fillId="4" borderId="0" xfId="0" applyFont="1" applyFill="1" applyBorder="1" applyAlignment="1" applyProtection="1">
      <alignment vertical="center"/>
      <protection hidden="1"/>
    </xf>
    <xf numFmtId="3" fontId="9" fillId="33" borderId="52" xfId="0" applyNumberFormat="1" applyFont="1" applyFill="1" applyBorder="1" applyAlignment="1" applyProtection="1">
      <alignment horizontal="right" vertical="center"/>
      <protection locked="0"/>
    </xf>
    <xf numFmtId="3" fontId="9" fillId="33" borderId="53" xfId="0" applyNumberFormat="1" applyFont="1" applyFill="1" applyBorder="1" applyAlignment="1" applyProtection="1">
      <alignment horizontal="right" vertical="center"/>
      <protection locked="0"/>
    </xf>
    <xf numFmtId="0" fontId="64" fillId="0" borderId="49" xfId="0" applyFont="1" applyBorder="1" applyAlignment="1" applyProtection="1">
      <alignment horizontal="center" vertical="center"/>
      <protection hidden="1"/>
    </xf>
    <xf numFmtId="0" fontId="4" fillId="0" borderId="54" xfId="0" applyFont="1" applyFill="1" applyBorder="1" applyAlignment="1" applyProtection="1">
      <alignment/>
      <protection locked="0"/>
    </xf>
    <xf numFmtId="0" fontId="66" fillId="0" borderId="55" xfId="0" applyFont="1" applyBorder="1" applyAlignment="1" applyProtection="1">
      <alignment horizontal="center" vertical="center"/>
      <protection hidden="1"/>
    </xf>
    <xf numFmtId="0" fontId="64" fillId="0" borderId="49" xfId="0" applyFont="1" applyBorder="1" applyAlignment="1" applyProtection="1">
      <alignment horizontal="center" vertical="center"/>
      <protection hidden="1"/>
    </xf>
    <xf numFmtId="170" fontId="66" fillId="0" borderId="55" xfId="0" applyNumberFormat="1" applyFont="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169" fontId="13" fillId="0" borderId="55" xfId="47" applyNumberFormat="1" applyFont="1" applyBorder="1" applyAlignment="1" applyProtection="1">
      <alignment horizontal="center" vertical="center"/>
      <protection hidden="1"/>
    </xf>
    <xf numFmtId="0" fontId="66" fillId="0" borderId="55" xfId="0" applyFont="1" applyFill="1" applyBorder="1" applyAlignment="1" applyProtection="1">
      <alignment horizontal="center" vertical="center"/>
      <protection hidden="1"/>
    </xf>
    <xf numFmtId="0" fontId="66" fillId="0" borderId="55" xfId="0" applyFont="1" applyBorder="1" applyAlignment="1" applyProtection="1">
      <alignment vertical="center"/>
      <protection hidden="1"/>
    </xf>
    <xf numFmtId="0" fontId="66" fillId="0" borderId="18" xfId="0" applyFont="1" applyBorder="1" applyAlignment="1" applyProtection="1">
      <alignment vertical="center"/>
      <protection hidden="1"/>
    </xf>
    <xf numFmtId="1" fontId="13" fillId="0" borderId="55" xfId="47" applyNumberFormat="1" applyFont="1" applyFill="1" applyBorder="1" applyAlignment="1" applyProtection="1">
      <alignment horizontal="right" vertical="center"/>
      <protection hidden="1"/>
    </xf>
    <xf numFmtId="1" fontId="66" fillId="0" borderId="55" xfId="0" applyNumberFormat="1" applyFont="1" applyBorder="1" applyAlignment="1" applyProtection="1">
      <alignment horizontal="right" vertical="center"/>
      <protection hidden="1"/>
    </xf>
    <xf numFmtId="3" fontId="64" fillId="33" borderId="53" xfId="0" applyNumberFormat="1" applyFont="1" applyFill="1" applyBorder="1" applyAlignment="1" applyProtection="1">
      <alignment horizontal="right" vertical="center"/>
      <protection locked="0"/>
    </xf>
    <xf numFmtId="3" fontId="9" fillId="33" borderId="54" xfId="0" applyNumberFormat="1" applyFont="1" applyFill="1" applyBorder="1" applyAlignment="1" applyProtection="1">
      <alignment horizontal="right" vertical="center"/>
      <protection locked="0"/>
    </xf>
    <xf numFmtId="0" fontId="64" fillId="0" borderId="49"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9" fillId="33" borderId="0" xfId="0" applyFont="1" applyFill="1" applyBorder="1" applyAlignment="1" applyProtection="1">
      <alignment vertical="center" wrapText="1"/>
      <protection hidden="1"/>
    </xf>
    <xf numFmtId="3" fontId="64" fillId="0" borderId="54" xfId="0" applyNumberFormat="1" applyFont="1" applyBorder="1" applyAlignment="1" applyProtection="1">
      <alignment horizontal="right" vertical="center"/>
      <protection locked="0"/>
    </xf>
    <xf numFmtId="0" fontId="66" fillId="0" borderId="56" xfId="0" applyFont="1" applyBorder="1" applyAlignment="1" applyProtection="1">
      <alignment horizontal="center" vertical="center"/>
      <protection hidden="1"/>
    </xf>
    <xf numFmtId="0" fontId="0" fillId="0" borderId="57" xfId="0" applyBorder="1" applyAlignment="1" applyProtection="1">
      <alignment/>
      <protection hidden="1"/>
    </xf>
    <xf numFmtId="0" fontId="0" fillId="0" borderId="58" xfId="0" applyBorder="1" applyAlignment="1" applyProtection="1">
      <alignment/>
      <protection hidden="1"/>
    </xf>
    <xf numFmtId="3" fontId="64" fillId="33" borderId="59" xfId="0" applyNumberFormat="1" applyFont="1" applyFill="1" applyBorder="1" applyAlignment="1" applyProtection="1">
      <alignment horizontal="right" vertical="center"/>
      <protection locked="0"/>
    </xf>
    <xf numFmtId="3" fontId="64" fillId="33" borderId="60" xfId="0" applyNumberFormat="1" applyFont="1" applyFill="1" applyBorder="1" applyAlignment="1" applyProtection="1">
      <alignment horizontal="right" vertical="center"/>
      <protection locked="0"/>
    </xf>
    <xf numFmtId="3" fontId="64" fillId="33" borderId="61" xfId="0" applyNumberFormat="1" applyFont="1" applyFill="1" applyBorder="1" applyAlignment="1" applyProtection="1">
      <alignment horizontal="right" vertical="center"/>
      <protection locked="0"/>
    </xf>
    <xf numFmtId="3" fontId="64" fillId="33" borderId="62" xfId="0" applyNumberFormat="1" applyFont="1" applyFill="1" applyBorder="1" applyAlignment="1" applyProtection="1">
      <alignment horizontal="right" vertical="center"/>
      <protection locked="0"/>
    </xf>
    <xf numFmtId="0" fontId="0" fillId="36" borderId="63" xfId="0" applyFill="1" applyBorder="1" applyAlignment="1" applyProtection="1">
      <alignment/>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3" fontId="64" fillId="33" borderId="66" xfId="0" applyNumberFormat="1" applyFont="1" applyFill="1" applyBorder="1" applyAlignment="1" applyProtection="1">
      <alignment horizontal="right" vertical="center"/>
      <protection locked="0"/>
    </xf>
    <xf numFmtId="0" fontId="0" fillId="36" borderId="66" xfId="0" applyFill="1" applyBorder="1" applyAlignment="1" applyProtection="1">
      <alignment/>
      <protection hidden="1"/>
    </xf>
    <xf numFmtId="0" fontId="0" fillId="36" borderId="67" xfId="0" applyFill="1" applyBorder="1" applyAlignment="1" applyProtection="1">
      <alignment/>
      <protection hidden="1"/>
    </xf>
    <xf numFmtId="0" fontId="4" fillId="36" borderId="67" xfId="0" applyFont="1" applyFill="1" applyBorder="1" applyAlignment="1" applyProtection="1">
      <alignment wrapText="1"/>
      <protection hidden="1"/>
    </xf>
    <xf numFmtId="0" fontId="0" fillId="36" borderId="68" xfId="0" applyFill="1" applyBorder="1" applyAlignment="1" applyProtection="1">
      <alignment/>
      <protection hidden="1"/>
    </xf>
    <xf numFmtId="0" fontId="0" fillId="36" borderId="62" xfId="0" applyFill="1" applyBorder="1" applyAlignment="1" applyProtection="1">
      <alignment/>
      <protection hidden="1"/>
    </xf>
    <xf numFmtId="0" fontId="0" fillId="36" borderId="69" xfId="0" applyFill="1" applyBorder="1" applyAlignment="1" applyProtection="1">
      <alignment/>
      <protection hidden="1"/>
    </xf>
    <xf numFmtId="0" fontId="0" fillId="36" borderId="70" xfId="0" applyFill="1" applyBorder="1" applyAlignment="1" applyProtection="1">
      <alignment/>
      <protection hidden="1"/>
    </xf>
    <xf numFmtId="0" fontId="0" fillId="36" borderId="71" xfId="0" applyFill="1" applyBorder="1" applyAlignment="1" applyProtection="1">
      <alignment/>
      <protection hidden="1"/>
    </xf>
    <xf numFmtId="0" fontId="0" fillId="36" borderId="72" xfId="0" applyFill="1" applyBorder="1" applyAlignment="1" applyProtection="1">
      <alignment/>
      <protection hidden="1"/>
    </xf>
    <xf numFmtId="0" fontId="0" fillId="36" borderId="73" xfId="0" applyFill="1" applyBorder="1" applyAlignment="1" applyProtection="1">
      <alignment/>
      <protection hidden="1"/>
    </xf>
    <xf numFmtId="0" fontId="0" fillId="36" borderId="74" xfId="0" applyFill="1" applyBorder="1" applyAlignment="1" applyProtection="1">
      <alignment/>
      <protection hidden="1"/>
    </xf>
    <xf numFmtId="3" fontId="64" fillId="33" borderId="52" xfId="0" applyNumberFormat="1" applyFont="1" applyFill="1" applyBorder="1" applyAlignment="1" applyProtection="1">
      <alignment horizontal="right" vertical="center"/>
      <protection locked="0"/>
    </xf>
    <xf numFmtId="3" fontId="64" fillId="33" borderId="54" xfId="0" applyNumberFormat="1" applyFont="1" applyFill="1" applyBorder="1" applyAlignment="1" applyProtection="1">
      <alignment horizontal="right" vertical="center"/>
      <protection locked="0"/>
    </xf>
    <xf numFmtId="0" fontId="66" fillId="0" borderId="55" xfId="0" applyFont="1" applyBorder="1" applyAlignment="1" applyProtection="1">
      <alignment horizontal="center" vertical="center"/>
      <protection hidden="1"/>
    </xf>
    <xf numFmtId="0" fontId="66" fillId="0" borderId="28" xfId="0" applyFont="1" applyBorder="1" applyAlignment="1" applyProtection="1">
      <alignment horizontal="center" vertical="center"/>
      <protection hidden="1"/>
    </xf>
    <xf numFmtId="0" fontId="64" fillId="0" borderId="49"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9" fillId="33" borderId="52" xfId="0" applyFont="1" applyFill="1" applyBorder="1" applyAlignment="1" applyProtection="1">
      <alignment horizontal="center"/>
      <protection hidden="1"/>
    </xf>
    <xf numFmtId="0" fontId="9" fillId="33" borderId="53" xfId="0" applyFont="1" applyFill="1" applyBorder="1" applyAlignment="1" applyProtection="1">
      <alignment horizontal="center"/>
      <protection hidden="1"/>
    </xf>
    <xf numFmtId="0" fontId="9" fillId="33" borderId="54" xfId="0" applyFont="1" applyFill="1" applyBorder="1" applyAlignment="1" applyProtection="1">
      <alignment horizontal="center"/>
      <protection hidden="1"/>
    </xf>
    <xf numFmtId="0" fontId="4" fillId="33" borderId="53" xfId="0" applyFont="1" applyFill="1" applyBorder="1" applyAlignment="1" applyProtection="1">
      <alignment/>
      <protection locked="0"/>
    </xf>
    <xf numFmtId="0" fontId="4" fillId="33" borderId="54" xfId="0" applyFont="1" applyFill="1" applyBorder="1" applyAlignment="1" applyProtection="1">
      <alignment/>
      <protection locked="0"/>
    </xf>
    <xf numFmtId="0" fontId="66" fillId="0" borderId="29" xfId="0" applyFont="1" applyBorder="1" applyAlignment="1" applyProtection="1">
      <alignment horizontal="center" vertical="center"/>
      <protection hidden="1"/>
    </xf>
    <xf numFmtId="170" fontId="66" fillId="0" borderId="29" xfId="0" applyNumberFormat="1" applyFont="1" applyBorder="1" applyAlignment="1" applyProtection="1">
      <alignment horizontal="center" vertical="center"/>
      <protection hidden="1"/>
    </xf>
    <xf numFmtId="0" fontId="12" fillId="0" borderId="29" xfId="0" applyFont="1" applyFill="1" applyBorder="1" applyAlignment="1" applyProtection="1">
      <alignment horizontal="center" vertical="center"/>
      <protection hidden="1"/>
    </xf>
    <xf numFmtId="169" fontId="13" fillId="0" borderId="29" xfId="47" applyNumberFormat="1" applyFont="1" applyBorder="1" applyAlignment="1" applyProtection="1">
      <alignment horizontal="center" vertical="center"/>
      <protection hidden="1"/>
    </xf>
    <xf numFmtId="0" fontId="66" fillId="0" borderId="29" xfId="0" applyFont="1" applyFill="1" applyBorder="1" applyAlignment="1" applyProtection="1">
      <alignment horizontal="center" vertical="center"/>
      <protection hidden="1"/>
    </xf>
    <xf numFmtId="0" fontId="66" fillId="0" borderId="29" xfId="0" applyFont="1" applyBorder="1" applyAlignment="1" applyProtection="1">
      <alignment vertical="center"/>
      <protection hidden="1"/>
    </xf>
    <xf numFmtId="1" fontId="13" fillId="0" borderId="29" xfId="47" applyNumberFormat="1" applyFont="1" applyFill="1" applyBorder="1" applyAlignment="1" applyProtection="1">
      <alignment horizontal="right" vertical="center"/>
      <protection hidden="1"/>
    </xf>
    <xf numFmtId="1" fontId="66" fillId="0" borderId="29" xfId="0" applyNumberFormat="1" applyFont="1" applyBorder="1" applyAlignment="1" applyProtection="1">
      <alignment horizontal="right" vertical="center"/>
      <protection hidden="1"/>
    </xf>
    <xf numFmtId="3" fontId="64" fillId="33" borderId="48" xfId="0" applyNumberFormat="1" applyFont="1" applyFill="1" applyBorder="1" applyAlignment="1" applyProtection="1">
      <alignment horizontal="right" vertical="center"/>
      <protection locked="0"/>
    </xf>
    <xf numFmtId="3" fontId="64" fillId="33" borderId="75" xfId="0" applyNumberFormat="1" applyFont="1" applyFill="1" applyBorder="1" applyAlignment="1" applyProtection="1">
      <alignment horizontal="right" vertical="center"/>
      <protection locked="0"/>
    </xf>
    <xf numFmtId="3" fontId="64" fillId="33" borderId="30" xfId="0" applyNumberFormat="1" applyFont="1" applyFill="1" applyBorder="1" applyAlignment="1" applyProtection="1">
      <alignment horizontal="right" vertical="center"/>
      <protection locked="0"/>
    </xf>
    <xf numFmtId="3" fontId="64" fillId="33" borderId="32" xfId="0" applyNumberFormat="1" applyFont="1" applyFill="1" applyBorder="1" applyAlignment="1" applyProtection="1">
      <alignment horizontal="right" vertical="center"/>
      <protection locked="0"/>
    </xf>
    <xf numFmtId="3" fontId="64" fillId="33" borderId="34" xfId="0" applyNumberFormat="1" applyFont="1" applyFill="1" applyBorder="1" applyAlignment="1" applyProtection="1">
      <alignment horizontal="right" vertical="center"/>
      <protection locked="0"/>
    </xf>
    <xf numFmtId="3" fontId="64" fillId="33" borderId="33" xfId="0" applyNumberFormat="1" applyFont="1" applyFill="1" applyBorder="1" applyAlignment="1" applyProtection="1">
      <alignment horizontal="right" vertical="center"/>
      <protection locked="0"/>
    </xf>
    <xf numFmtId="0" fontId="71" fillId="0" borderId="0" xfId="0" applyFont="1" applyAlignment="1" applyProtection="1">
      <alignment horizontal="center" vertical="center" wrapText="1"/>
      <protection hidden="1"/>
    </xf>
    <xf numFmtId="0" fontId="71" fillId="33" borderId="0" xfId="0" applyFont="1" applyFill="1" applyBorder="1" applyAlignment="1" applyProtection="1">
      <alignment horizontal="center" vertical="center" wrapText="1"/>
      <protection hidden="1"/>
    </xf>
    <xf numFmtId="0" fontId="72" fillId="33" borderId="0" xfId="54" applyFont="1" applyFill="1" applyBorder="1" applyAlignment="1" applyProtection="1">
      <alignment horizontal="center" vertical="center" wrapText="1"/>
      <protection hidden="1"/>
    </xf>
    <xf numFmtId="3" fontId="64" fillId="33" borderId="69" xfId="0" applyNumberFormat="1" applyFont="1" applyFill="1" applyBorder="1" applyAlignment="1" applyProtection="1">
      <alignment horizontal="right" vertical="center"/>
      <protection locked="0"/>
    </xf>
    <xf numFmtId="3" fontId="9" fillId="0" borderId="48" xfId="0" applyNumberFormat="1" applyFont="1" applyFill="1" applyBorder="1" applyAlignment="1" applyProtection="1">
      <alignment/>
      <protection locked="0"/>
    </xf>
    <xf numFmtId="3" fontId="9" fillId="0" borderId="75" xfId="0" applyNumberFormat="1" applyFont="1" applyFill="1" applyBorder="1" applyAlignment="1" applyProtection="1">
      <alignment/>
      <protection locked="0"/>
    </xf>
    <xf numFmtId="3" fontId="73" fillId="0" borderId="34" xfId="50" applyNumberFormat="1" applyFont="1" applyFill="1" applyBorder="1" applyAlignment="1" applyProtection="1">
      <alignment vertical="center"/>
      <protection hidden="1"/>
    </xf>
    <xf numFmtId="3" fontId="73" fillId="0" borderId="0" xfId="50" applyNumberFormat="1" applyFont="1" applyFill="1" applyBorder="1" applyAlignment="1" applyProtection="1">
      <alignment vertical="center"/>
      <protection hidden="1"/>
    </xf>
    <xf numFmtId="0" fontId="74" fillId="33" borderId="0" xfId="36" applyFont="1" applyFill="1" applyBorder="1" applyAlignment="1" applyProtection="1">
      <alignment horizontal="center" vertical="center"/>
      <protection hidden="1"/>
    </xf>
    <xf numFmtId="3" fontId="64" fillId="33" borderId="31" xfId="0" applyNumberFormat="1" applyFont="1" applyFill="1" applyBorder="1" applyAlignment="1" applyProtection="1">
      <alignment horizontal="right" vertical="center"/>
      <protection locked="0"/>
    </xf>
    <xf numFmtId="3" fontId="64" fillId="33" borderId="76" xfId="0" applyNumberFormat="1" applyFont="1" applyFill="1" applyBorder="1" applyAlignment="1" applyProtection="1">
      <alignment horizontal="right" vertical="center"/>
      <protection locked="0"/>
    </xf>
    <xf numFmtId="0" fontId="64" fillId="0" borderId="52" xfId="0" applyFont="1" applyBorder="1" applyAlignment="1" applyProtection="1">
      <alignment horizontal="center" vertical="center"/>
      <protection hidden="1"/>
    </xf>
    <xf numFmtId="0" fontId="64" fillId="0" borderId="54" xfId="0" applyFont="1" applyBorder="1" applyAlignment="1" applyProtection="1">
      <alignment horizontal="center" vertical="center"/>
      <protection hidden="1"/>
    </xf>
    <xf numFmtId="0" fontId="64" fillId="0" borderId="30" xfId="0" applyFont="1" applyBorder="1" applyAlignment="1" applyProtection="1">
      <alignment horizontal="center" vertical="center" wrapText="1"/>
      <protection hidden="1"/>
    </xf>
    <xf numFmtId="0" fontId="64" fillId="0" borderId="32" xfId="0" applyFont="1" applyBorder="1" applyAlignment="1" applyProtection="1">
      <alignment horizontal="center" vertical="center" wrapText="1"/>
      <protection hidden="1"/>
    </xf>
    <xf numFmtId="0" fontId="64" fillId="0" borderId="34" xfId="0" applyFont="1" applyBorder="1" applyAlignment="1" applyProtection="1">
      <alignment horizontal="center" vertical="center" wrapText="1"/>
      <protection hidden="1"/>
    </xf>
    <xf numFmtId="0" fontId="64" fillId="0" borderId="33" xfId="0" applyFont="1" applyBorder="1" applyAlignment="1" applyProtection="1">
      <alignment horizontal="center" vertical="center" wrapText="1"/>
      <protection hidden="1"/>
    </xf>
    <xf numFmtId="3" fontId="64" fillId="33" borderId="77" xfId="0" applyNumberFormat="1" applyFont="1" applyFill="1" applyBorder="1" applyAlignment="1" applyProtection="1">
      <alignment horizontal="right" vertical="center"/>
      <protection locked="0"/>
    </xf>
    <xf numFmtId="3" fontId="9" fillId="33" borderId="34" xfId="0" applyNumberFormat="1" applyFont="1" applyFill="1" applyBorder="1" applyAlignment="1" applyProtection="1">
      <alignment/>
      <protection locked="0"/>
    </xf>
    <xf numFmtId="3" fontId="9" fillId="33" borderId="33" xfId="0" applyNumberFormat="1" applyFont="1" applyFill="1" applyBorder="1" applyAlignment="1" applyProtection="1">
      <alignment/>
      <protection locked="0"/>
    </xf>
    <xf numFmtId="0" fontId="0" fillId="33" borderId="0" xfId="0" applyFont="1" applyFill="1" applyBorder="1" applyAlignment="1" applyProtection="1">
      <alignment horizontal="left" vertical="center" indent="5"/>
      <protection hidden="1"/>
    </xf>
    <xf numFmtId="0" fontId="71" fillId="33" borderId="0" xfId="0" applyFont="1" applyFill="1" applyBorder="1" applyAlignment="1" applyProtection="1">
      <alignment horizontal="center" wrapText="1"/>
      <protection hidden="1"/>
    </xf>
    <xf numFmtId="3" fontId="9" fillId="33" borderId="34" xfId="0" applyNumberFormat="1" applyFont="1" applyFill="1" applyBorder="1" applyAlignment="1" applyProtection="1">
      <alignment horizontal="right" vertical="center"/>
      <protection locked="0"/>
    </xf>
    <xf numFmtId="3" fontId="9" fillId="33" borderId="33" xfId="0" applyNumberFormat="1" applyFont="1" applyFill="1" applyBorder="1" applyAlignment="1" applyProtection="1">
      <alignment horizontal="right" vertical="center"/>
      <protection locked="0"/>
    </xf>
    <xf numFmtId="3" fontId="73" fillId="33" borderId="34" xfId="50" applyNumberFormat="1" applyFont="1" applyFill="1" applyBorder="1" applyAlignment="1" applyProtection="1">
      <alignment vertical="center"/>
      <protection hidden="1"/>
    </xf>
    <xf numFmtId="3" fontId="73" fillId="33" borderId="0" xfId="50" applyNumberFormat="1" applyFont="1" applyFill="1" applyBorder="1" applyAlignment="1" applyProtection="1">
      <alignment vertical="center"/>
      <protection hidden="1"/>
    </xf>
    <xf numFmtId="3" fontId="9" fillId="0" borderId="34" xfId="0" applyNumberFormat="1" applyFont="1" applyFill="1" applyBorder="1" applyAlignment="1" applyProtection="1">
      <alignment horizontal="right" vertical="center"/>
      <protection locked="0"/>
    </xf>
    <xf numFmtId="3" fontId="9" fillId="0" borderId="33" xfId="0" applyNumberFormat="1" applyFont="1" applyFill="1" applyBorder="1" applyAlignment="1" applyProtection="1">
      <alignment horizontal="right" vertical="center"/>
      <protection locked="0"/>
    </xf>
    <xf numFmtId="0" fontId="59" fillId="0" borderId="0" xfId="0" applyFont="1" applyFill="1" applyBorder="1" applyAlignment="1" applyProtection="1">
      <alignment horizontal="center" vertical="center" wrapText="1"/>
      <protection hidden="1"/>
    </xf>
    <xf numFmtId="3" fontId="9" fillId="33" borderId="30" xfId="0" applyNumberFormat="1" applyFont="1" applyFill="1" applyBorder="1" applyAlignment="1" applyProtection="1">
      <alignment horizontal="right" vertical="center"/>
      <protection locked="0"/>
    </xf>
    <xf numFmtId="3" fontId="9" fillId="33" borderId="32" xfId="0" applyNumberFormat="1" applyFont="1" applyFill="1" applyBorder="1" applyAlignment="1" applyProtection="1">
      <alignment horizontal="right" vertical="center"/>
      <protection locked="0"/>
    </xf>
    <xf numFmtId="3" fontId="73" fillId="33" borderId="30" xfId="50" applyNumberFormat="1" applyFont="1" applyFill="1" applyBorder="1" applyAlignment="1" applyProtection="1">
      <alignment vertical="center"/>
      <protection hidden="1"/>
    </xf>
    <xf numFmtId="3" fontId="73" fillId="33" borderId="32" xfId="50" applyNumberFormat="1" applyFont="1" applyFill="1" applyBorder="1" applyAlignment="1" applyProtection="1">
      <alignment vertical="center"/>
      <protection hidden="1"/>
    </xf>
    <xf numFmtId="3" fontId="9" fillId="33" borderId="48" xfId="0" applyNumberFormat="1" applyFont="1" applyFill="1" applyBorder="1" applyAlignment="1" applyProtection="1">
      <alignment horizontal="right" vertical="center"/>
      <protection locked="0"/>
    </xf>
    <xf numFmtId="3" fontId="9" fillId="33" borderId="75" xfId="0" applyNumberFormat="1" applyFont="1" applyFill="1" applyBorder="1" applyAlignment="1" applyProtection="1">
      <alignment horizontal="right" vertical="center"/>
      <protection locked="0"/>
    </xf>
    <xf numFmtId="3" fontId="9" fillId="33" borderId="48" xfId="0" applyNumberFormat="1" applyFont="1" applyFill="1" applyBorder="1" applyAlignment="1" applyProtection="1">
      <alignment/>
      <protection locked="0"/>
    </xf>
    <xf numFmtId="3" fontId="9" fillId="33" borderId="75" xfId="0" applyNumberFormat="1" applyFont="1" applyFill="1" applyBorder="1" applyAlignment="1" applyProtection="1">
      <alignment/>
      <protection locked="0"/>
    </xf>
    <xf numFmtId="0" fontId="9" fillId="0" borderId="0" xfId="0" applyFont="1" applyFill="1" applyBorder="1" applyAlignment="1" applyProtection="1">
      <alignment/>
      <protection hidden="1"/>
    </xf>
    <xf numFmtId="0" fontId="9" fillId="33" borderId="30" xfId="0" applyFont="1" applyFill="1" applyBorder="1" applyAlignment="1" applyProtection="1">
      <alignment horizontal="center" vertical="center" wrapText="1"/>
      <protection hidden="1"/>
    </xf>
    <xf numFmtId="0" fontId="9" fillId="33" borderId="32" xfId="0" applyFont="1" applyFill="1" applyBorder="1" applyAlignment="1" applyProtection="1">
      <alignment horizontal="center" vertical="center" wrapText="1"/>
      <protection hidden="1"/>
    </xf>
    <xf numFmtId="0" fontId="9" fillId="33" borderId="34" xfId="0" applyFont="1" applyFill="1" applyBorder="1" applyAlignment="1" applyProtection="1">
      <alignment horizontal="center" vertical="center" wrapText="1"/>
      <protection hidden="1"/>
    </xf>
    <xf numFmtId="0" fontId="9" fillId="33" borderId="33" xfId="0" applyFont="1" applyFill="1" applyBorder="1" applyAlignment="1" applyProtection="1">
      <alignment horizontal="center" vertical="center" wrapText="1"/>
      <protection hidden="1"/>
    </xf>
    <xf numFmtId="0" fontId="9" fillId="33" borderId="48" xfId="0" applyFont="1" applyFill="1" applyBorder="1" applyAlignment="1" applyProtection="1">
      <alignment horizontal="center" vertical="center" wrapText="1"/>
      <protection hidden="1"/>
    </xf>
    <xf numFmtId="0" fontId="9" fillId="33" borderId="75" xfId="0" applyFont="1" applyFill="1" applyBorder="1" applyAlignment="1" applyProtection="1">
      <alignment horizontal="center" vertical="center" wrapText="1"/>
      <protection hidden="1"/>
    </xf>
    <xf numFmtId="3" fontId="9" fillId="33" borderId="0" xfId="0" applyNumberFormat="1" applyFont="1" applyFill="1" applyBorder="1" applyAlignment="1" applyProtection="1">
      <alignment horizontal="right" vertical="center"/>
      <protection locked="0"/>
    </xf>
    <xf numFmtId="3" fontId="73" fillId="33" borderId="48" xfId="50" applyNumberFormat="1" applyFont="1" applyFill="1" applyBorder="1" applyAlignment="1" applyProtection="1">
      <alignment vertical="center"/>
      <protection hidden="1"/>
    </xf>
    <xf numFmtId="3" fontId="73" fillId="33" borderId="75" xfId="50" applyNumberFormat="1" applyFont="1" applyFill="1" applyBorder="1" applyAlignment="1" applyProtection="1">
      <alignment vertical="center"/>
      <protection hidden="1"/>
    </xf>
    <xf numFmtId="3" fontId="73" fillId="33" borderId="33" xfId="50" applyNumberFormat="1" applyFont="1" applyFill="1" applyBorder="1" applyAlignment="1" applyProtection="1">
      <alignment vertical="center"/>
      <protection hidden="1"/>
    </xf>
    <xf numFmtId="0" fontId="47" fillId="33" borderId="26" xfId="0" applyFont="1" applyFill="1" applyBorder="1" applyAlignment="1" applyProtection="1">
      <alignment horizontal="left" vertical="center"/>
      <protection hidden="1"/>
    </xf>
    <xf numFmtId="0" fontId="47" fillId="33" borderId="26" xfId="0" applyFont="1" applyFill="1" applyBorder="1" applyAlignment="1" applyProtection="1">
      <alignment horizontal="right" vertical="center"/>
      <protection hidden="1"/>
    </xf>
    <xf numFmtId="3" fontId="66" fillId="0" borderId="48" xfId="0" applyNumberFormat="1" applyFont="1" applyBorder="1" applyAlignment="1" applyProtection="1">
      <alignment/>
      <protection hidden="1"/>
    </xf>
    <xf numFmtId="3" fontId="66" fillId="0" borderId="75" xfId="0" applyNumberFormat="1" applyFont="1" applyBorder="1" applyAlignment="1" applyProtection="1">
      <alignment/>
      <protection hidden="1"/>
    </xf>
    <xf numFmtId="170" fontId="9" fillId="0" borderId="26" xfId="0" applyNumberFormat="1" applyFont="1" applyFill="1" applyBorder="1" applyAlignment="1" applyProtection="1">
      <alignment horizontal="right" vertical="center"/>
      <protection hidden="1"/>
    </xf>
    <xf numFmtId="3" fontId="9" fillId="0" borderId="48" xfId="0" applyNumberFormat="1" applyFont="1" applyFill="1" applyBorder="1" applyAlignment="1" applyProtection="1">
      <alignment horizontal="right" vertical="center"/>
      <protection hidden="1"/>
    </xf>
    <xf numFmtId="3" fontId="9" fillId="0" borderId="75" xfId="0" applyNumberFormat="1" applyFont="1" applyFill="1" applyBorder="1" applyAlignment="1" applyProtection="1">
      <alignment horizontal="right" vertical="center"/>
      <protection hidden="1"/>
    </xf>
    <xf numFmtId="3" fontId="66" fillId="0" borderId="34" xfId="0" applyNumberFormat="1" applyFont="1" applyBorder="1" applyAlignment="1" applyProtection="1">
      <alignment/>
      <protection hidden="1"/>
    </xf>
    <xf numFmtId="3" fontId="66" fillId="0" borderId="33" xfId="0" applyNumberFormat="1" applyFont="1" applyBorder="1" applyAlignment="1" applyProtection="1">
      <alignment/>
      <protection hidden="1"/>
    </xf>
    <xf numFmtId="170" fontId="9" fillId="0" borderId="0" xfId="54" applyNumberFormat="1" applyFont="1" applyFill="1" applyBorder="1" applyAlignment="1" applyProtection="1">
      <alignment horizontal="right" vertical="center" wrapText="1"/>
      <protection hidden="1"/>
    </xf>
    <xf numFmtId="3" fontId="9" fillId="0" borderId="34" xfId="54" applyNumberFormat="1" applyFont="1" applyFill="1" applyBorder="1" applyAlignment="1" applyProtection="1">
      <alignment horizontal="right" vertical="center" wrapText="1"/>
      <protection hidden="1"/>
    </xf>
    <xf numFmtId="3" fontId="9" fillId="0" borderId="33" xfId="54" applyNumberFormat="1" applyFont="1" applyFill="1" applyBorder="1" applyAlignment="1" applyProtection="1">
      <alignment horizontal="right" vertical="center" wrapText="1"/>
      <protection hidden="1"/>
    </xf>
    <xf numFmtId="170" fontId="9" fillId="0" borderId="0" xfId="0" applyNumberFormat="1" applyFont="1" applyFill="1" applyBorder="1" applyAlignment="1" applyProtection="1">
      <alignment horizontal="right" vertical="center"/>
      <protection hidden="1"/>
    </xf>
    <xf numFmtId="3" fontId="9" fillId="0" borderId="34" xfId="0" applyNumberFormat="1" applyFont="1" applyFill="1" applyBorder="1" applyAlignment="1" applyProtection="1">
      <alignment horizontal="right" vertical="center"/>
      <protection hidden="1"/>
    </xf>
    <xf numFmtId="3" fontId="9" fillId="0" borderId="33" xfId="0" applyNumberFormat="1" applyFont="1" applyFill="1" applyBorder="1" applyAlignment="1" applyProtection="1">
      <alignment horizontal="right" vertical="center"/>
      <protection hidden="1"/>
    </xf>
    <xf numFmtId="3" fontId="66" fillId="0" borderId="30" xfId="0" applyNumberFormat="1" applyFont="1" applyBorder="1" applyAlignment="1" applyProtection="1">
      <alignment/>
      <protection hidden="1"/>
    </xf>
    <xf numFmtId="3" fontId="66" fillId="0" borderId="32" xfId="0" applyNumberFormat="1" applyFont="1" applyBorder="1" applyAlignment="1" applyProtection="1">
      <alignment/>
      <protection hidden="1"/>
    </xf>
    <xf numFmtId="170" fontId="9" fillId="0" borderId="31" xfId="54" applyNumberFormat="1" applyFont="1" applyFill="1" applyBorder="1" applyAlignment="1" applyProtection="1">
      <alignment horizontal="right" vertical="center" wrapText="1"/>
      <protection hidden="1"/>
    </xf>
    <xf numFmtId="3" fontId="9" fillId="0" borderId="30" xfId="54" applyNumberFormat="1" applyFont="1" applyFill="1" applyBorder="1" applyAlignment="1" applyProtection="1">
      <alignment horizontal="right" vertical="center" wrapText="1"/>
      <protection hidden="1"/>
    </xf>
    <xf numFmtId="3" fontId="9" fillId="0" borderId="32" xfId="54" applyNumberFormat="1" applyFont="1" applyFill="1" applyBorder="1" applyAlignment="1" applyProtection="1">
      <alignment horizontal="right" vertical="center" wrapText="1"/>
      <protection hidden="1"/>
    </xf>
    <xf numFmtId="3" fontId="69" fillId="36" borderId="0" xfId="0" applyNumberFormat="1" applyFont="1" applyFill="1" applyBorder="1" applyAlignment="1" applyProtection="1">
      <alignment horizontal="right"/>
      <protection hidden="1"/>
    </xf>
    <xf numFmtId="3" fontId="69" fillId="36" borderId="25" xfId="0" applyNumberFormat="1" applyFont="1" applyFill="1" applyBorder="1" applyAlignment="1" applyProtection="1">
      <alignment horizontal="right"/>
      <protection hidden="1"/>
    </xf>
    <xf numFmtId="3" fontId="69" fillId="36" borderId="21" xfId="0" applyNumberFormat="1" applyFont="1" applyFill="1" applyBorder="1" applyAlignment="1" applyProtection="1">
      <alignment horizontal="right" vertical="center"/>
      <protection hidden="1"/>
    </xf>
    <xf numFmtId="3" fontId="69" fillId="36" borderId="78" xfId="0" applyNumberFormat="1" applyFont="1" applyFill="1" applyBorder="1" applyAlignment="1" applyProtection="1">
      <alignment horizontal="right" vertical="center"/>
      <protection hidden="1"/>
    </xf>
    <xf numFmtId="3" fontId="69" fillId="36" borderId="20" xfId="0" applyNumberFormat="1" applyFont="1" applyFill="1" applyBorder="1" applyAlignment="1" applyProtection="1">
      <alignment horizontal="right"/>
      <protection hidden="1"/>
    </xf>
    <xf numFmtId="3" fontId="69" fillId="36" borderId="79" xfId="0" applyNumberFormat="1" applyFont="1" applyFill="1" applyBorder="1" applyAlignment="1" applyProtection="1">
      <alignment horizontal="right"/>
      <protection hidden="1"/>
    </xf>
    <xf numFmtId="0" fontId="66" fillId="0" borderId="49" xfId="0" applyFont="1" applyBorder="1" applyAlignment="1" applyProtection="1">
      <alignment horizontal="center" vertical="center" wrapText="1"/>
      <protection hidden="1"/>
    </xf>
    <xf numFmtId="0" fontId="66" fillId="0" borderId="55" xfId="0" applyFont="1" applyBorder="1" applyAlignment="1" applyProtection="1">
      <alignment horizontal="center" vertical="center" wrapText="1"/>
      <protection hidden="1"/>
    </xf>
    <xf numFmtId="0" fontId="66" fillId="0" borderId="28" xfId="0" applyFont="1" applyBorder="1" applyAlignment="1" applyProtection="1">
      <alignment horizontal="center" vertical="center" wrapText="1"/>
      <protection hidden="1"/>
    </xf>
    <xf numFmtId="0" fontId="12" fillId="0" borderId="49" xfId="0" applyFont="1" applyFill="1" applyBorder="1" applyAlignment="1" applyProtection="1">
      <alignment horizontal="center" vertical="center" wrapText="1"/>
      <protection hidden="1"/>
    </xf>
    <xf numFmtId="0" fontId="12" fillId="0" borderId="55" xfId="0" applyFont="1" applyFill="1" applyBorder="1" applyAlignment="1" applyProtection="1">
      <alignment horizontal="center" vertical="center" wrapText="1"/>
      <protection hidden="1"/>
    </xf>
    <xf numFmtId="0" fontId="12" fillId="0" borderId="28" xfId="0" applyFont="1" applyFill="1" applyBorder="1" applyAlignment="1" applyProtection="1">
      <alignment horizontal="center" vertical="center" wrapText="1"/>
      <protection hidden="1"/>
    </xf>
    <xf numFmtId="14" fontId="66" fillId="36" borderId="27" xfId="0" applyNumberFormat="1" applyFont="1" applyFill="1" applyBorder="1" applyAlignment="1" applyProtection="1">
      <alignment horizontal="center"/>
      <protection hidden="1"/>
    </xf>
    <xf numFmtId="14" fontId="66" fillId="36" borderId="80" xfId="0" applyNumberFormat="1" applyFont="1" applyFill="1" applyBorder="1" applyAlignment="1" applyProtection="1">
      <alignment horizontal="center"/>
      <protection hidden="1"/>
    </xf>
    <xf numFmtId="0" fontId="66" fillId="0" borderId="21" xfId="0" applyFont="1" applyBorder="1" applyAlignment="1" applyProtection="1">
      <alignment horizontal="right" indent="2"/>
      <protection hidden="1"/>
    </xf>
    <xf numFmtId="0" fontId="66" fillId="0" borderId="20" xfId="0" applyFont="1" applyBorder="1" applyAlignment="1" applyProtection="1">
      <alignment horizontal="right" indent="2"/>
      <protection hidden="1"/>
    </xf>
    <xf numFmtId="3" fontId="69" fillId="36" borderId="21" xfId="0" applyNumberFormat="1" applyFont="1" applyFill="1" applyBorder="1" applyAlignment="1" applyProtection="1">
      <alignment horizontal="right"/>
      <protection hidden="1"/>
    </xf>
    <xf numFmtId="3" fontId="69" fillId="36" borderId="78" xfId="0" applyNumberFormat="1" applyFont="1" applyFill="1" applyBorder="1" applyAlignment="1" applyProtection="1">
      <alignment horizontal="right"/>
      <protection hidden="1"/>
    </xf>
    <xf numFmtId="0" fontId="75" fillId="0" borderId="52" xfId="0" applyFont="1" applyBorder="1" applyAlignment="1" applyProtection="1">
      <alignment horizontal="center" vertical="center"/>
      <protection hidden="1"/>
    </xf>
    <xf numFmtId="0" fontId="75" fillId="0" borderId="54" xfId="0" applyFont="1" applyBorder="1" applyAlignment="1" applyProtection="1">
      <alignment horizontal="center" vertical="center"/>
      <protection hidden="1"/>
    </xf>
    <xf numFmtId="0" fontId="75" fillId="0" borderId="30" xfId="0" applyFont="1" applyBorder="1" applyAlignment="1" applyProtection="1">
      <alignment horizontal="center" vertical="center" wrapText="1"/>
      <protection hidden="1"/>
    </xf>
    <xf numFmtId="0" fontId="75" fillId="0" borderId="32" xfId="0" applyFont="1" applyBorder="1" applyAlignment="1" applyProtection="1">
      <alignment horizontal="center" vertical="center" wrapText="1"/>
      <protection hidden="1"/>
    </xf>
    <xf numFmtId="0" fontId="75" fillId="0" borderId="48" xfId="0" applyFont="1" applyBorder="1" applyAlignment="1" applyProtection="1">
      <alignment horizontal="center" vertical="center" wrapText="1"/>
      <protection hidden="1"/>
    </xf>
    <xf numFmtId="0" fontId="75" fillId="0" borderId="75" xfId="0" applyFont="1" applyBorder="1" applyAlignment="1" applyProtection="1">
      <alignment horizontal="center" vertical="center" wrapText="1"/>
      <protection hidden="1"/>
    </xf>
    <xf numFmtId="0" fontId="66" fillId="0" borderId="49" xfId="0" applyFont="1" applyBorder="1" applyAlignment="1" applyProtection="1">
      <alignment horizontal="center" vertical="center"/>
      <protection hidden="1"/>
    </xf>
    <xf numFmtId="0" fontId="66" fillId="0" borderId="55" xfId="0" applyFont="1" applyBorder="1" applyAlignment="1" applyProtection="1">
      <alignment horizontal="center" vertical="center"/>
      <protection hidden="1"/>
    </xf>
    <xf numFmtId="0" fontId="66" fillId="0" borderId="28" xfId="0" applyFont="1" applyBorder="1" applyAlignment="1" applyProtection="1">
      <alignment horizontal="center" vertical="center"/>
      <protection hidden="1"/>
    </xf>
    <xf numFmtId="3" fontId="64" fillId="33" borderId="0" xfId="0" applyNumberFormat="1" applyFont="1" applyFill="1" applyBorder="1" applyAlignment="1" applyProtection="1">
      <alignment horizontal="right" vertical="center"/>
      <protection hidden="1"/>
    </xf>
    <xf numFmtId="3" fontId="64" fillId="33" borderId="33" xfId="0" applyNumberFormat="1" applyFont="1" applyFill="1" applyBorder="1" applyAlignment="1" applyProtection="1">
      <alignment horizontal="right" vertical="center"/>
      <protection hidden="1"/>
    </xf>
    <xf numFmtId="3" fontId="64" fillId="33" borderId="26" xfId="0" applyNumberFormat="1" applyFont="1" applyFill="1" applyBorder="1" applyAlignment="1" applyProtection="1">
      <alignment horizontal="right" vertical="center"/>
      <protection hidden="1"/>
    </xf>
    <xf numFmtId="3" fontId="64" fillId="33" borderId="75" xfId="0" applyNumberFormat="1" applyFont="1" applyFill="1" applyBorder="1" applyAlignment="1" applyProtection="1">
      <alignment horizontal="right" vertical="center"/>
      <protection hidden="1"/>
    </xf>
    <xf numFmtId="3" fontId="64" fillId="33" borderId="34" xfId="0" applyNumberFormat="1" applyFont="1" applyFill="1" applyBorder="1" applyAlignment="1" applyProtection="1">
      <alignment horizontal="right" vertical="center"/>
      <protection hidden="1"/>
    </xf>
    <xf numFmtId="3" fontId="64" fillId="33" borderId="48" xfId="0" applyNumberFormat="1" applyFont="1" applyFill="1" applyBorder="1" applyAlignment="1" applyProtection="1">
      <alignment horizontal="right" vertical="center"/>
      <protection hidden="1"/>
    </xf>
    <xf numFmtId="170" fontId="64" fillId="33" borderId="48" xfId="0" applyNumberFormat="1" applyFont="1" applyFill="1" applyBorder="1" applyAlignment="1" applyProtection="1">
      <alignment horizontal="right" vertical="center"/>
      <protection hidden="1"/>
    </xf>
    <xf numFmtId="170" fontId="64" fillId="33" borderId="75" xfId="0" applyNumberFormat="1" applyFont="1" applyFill="1" applyBorder="1" applyAlignment="1" applyProtection="1">
      <alignment horizontal="right" vertical="center"/>
      <protection hidden="1"/>
    </xf>
    <xf numFmtId="170" fontId="9" fillId="33" borderId="26" xfId="0" applyNumberFormat="1" applyFont="1" applyFill="1" applyBorder="1" applyAlignment="1" applyProtection="1">
      <alignment horizontal="right" vertical="center"/>
      <protection hidden="1"/>
    </xf>
    <xf numFmtId="170" fontId="9" fillId="33" borderId="75" xfId="0" applyNumberFormat="1" applyFont="1" applyFill="1" applyBorder="1" applyAlignment="1" applyProtection="1">
      <alignment horizontal="right" vertical="center"/>
      <protection hidden="1"/>
    </xf>
    <xf numFmtId="0" fontId="75" fillId="0" borderId="30" xfId="0" applyFont="1" applyBorder="1" applyAlignment="1" applyProtection="1">
      <alignment horizontal="center" vertical="center"/>
      <protection hidden="1"/>
    </xf>
    <xf numFmtId="0" fontId="75" fillId="0" borderId="48" xfId="0" applyFont="1" applyBorder="1" applyAlignment="1" applyProtection="1">
      <alignment horizontal="center" vertical="center"/>
      <protection hidden="1"/>
    </xf>
    <xf numFmtId="170" fontId="9" fillId="33" borderId="0" xfId="0" applyNumberFormat="1" applyFont="1" applyFill="1" applyBorder="1" applyAlignment="1" applyProtection="1">
      <alignment horizontal="right" vertical="center"/>
      <protection hidden="1"/>
    </xf>
    <xf numFmtId="170" fontId="9" fillId="33" borderId="33" xfId="0" applyNumberFormat="1" applyFont="1" applyFill="1" applyBorder="1" applyAlignment="1" applyProtection="1">
      <alignment horizontal="right" vertical="center"/>
      <protection hidden="1"/>
    </xf>
    <xf numFmtId="170" fontId="64" fillId="33" borderId="34" xfId="0" applyNumberFormat="1" applyFont="1" applyFill="1" applyBorder="1" applyAlignment="1" applyProtection="1">
      <alignment horizontal="right" vertical="center"/>
      <protection hidden="1"/>
    </xf>
    <xf numFmtId="170" fontId="64" fillId="33" borderId="33" xfId="0" applyNumberFormat="1" applyFont="1" applyFill="1" applyBorder="1" applyAlignment="1" applyProtection="1">
      <alignment horizontal="right" vertical="center"/>
      <protection hidden="1"/>
    </xf>
    <xf numFmtId="170" fontId="64" fillId="33" borderId="31" xfId="0" applyNumberFormat="1" applyFont="1" applyFill="1" applyBorder="1" applyAlignment="1" applyProtection="1">
      <alignment horizontal="right" vertical="center"/>
      <protection hidden="1"/>
    </xf>
    <xf numFmtId="170" fontId="64" fillId="33" borderId="32" xfId="0" applyNumberFormat="1" applyFont="1" applyFill="1" applyBorder="1" applyAlignment="1" applyProtection="1">
      <alignment horizontal="right" vertical="center"/>
      <protection hidden="1"/>
    </xf>
    <xf numFmtId="3" fontId="64" fillId="33" borderId="30" xfId="0" applyNumberFormat="1" applyFont="1" applyFill="1" applyBorder="1" applyAlignment="1" applyProtection="1">
      <alignment horizontal="right" vertical="center"/>
      <protection hidden="1"/>
    </xf>
    <xf numFmtId="3" fontId="64" fillId="33" borderId="32" xfId="0" applyNumberFormat="1" applyFont="1" applyFill="1" applyBorder="1" applyAlignment="1" applyProtection="1">
      <alignment horizontal="right" vertical="center"/>
      <protection hidden="1"/>
    </xf>
    <xf numFmtId="0" fontId="75" fillId="0" borderId="30" xfId="0" applyFont="1" applyFill="1" applyBorder="1" applyAlignment="1" applyProtection="1">
      <alignment horizontal="center" vertical="center" wrapText="1"/>
      <protection hidden="1"/>
    </xf>
    <xf numFmtId="0" fontId="75" fillId="0" borderId="32" xfId="0" applyFont="1" applyFill="1" applyBorder="1" applyAlignment="1" applyProtection="1">
      <alignment horizontal="center" vertical="center" wrapText="1"/>
      <protection hidden="1"/>
    </xf>
    <xf numFmtId="0" fontId="75" fillId="0" borderId="48" xfId="0" applyFont="1" applyFill="1" applyBorder="1" applyAlignment="1" applyProtection="1">
      <alignment horizontal="center" vertical="center" wrapText="1"/>
      <protection hidden="1"/>
    </xf>
    <xf numFmtId="0" fontId="75" fillId="0" borderId="75" xfId="0" applyFont="1" applyFill="1" applyBorder="1" applyAlignment="1" applyProtection="1">
      <alignment horizontal="center" vertical="center" wrapText="1"/>
      <protection hidden="1"/>
    </xf>
    <xf numFmtId="3" fontId="64" fillId="33" borderId="31" xfId="0" applyNumberFormat="1" applyFont="1" applyFill="1" applyBorder="1" applyAlignment="1" applyProtection="1">
      <alignment horizontal="right" vertical="center"/>
      <protection hidden="1"/>
    </xf>
    <xf numFmtId="170" fontId="64" fillId="33" borderId="30" xfId="0" applyNumberFormat="1" applyFont="1" applyFill="1" applyBorder="1" applyAlignment="1" applyProtection="1">
      <alignment horizontal="right" vertical="center"/>
      <protection hidden="1"/>
    </xf>
    <xf numFmtId="170" fontId="9" fillId="33" borderId="31" xfId="0" applyNumberFormat="1" applyFont="1" applyFill="1" applyBorder="1" applyAlignment="1" applyProtection="1">
      <alignment horizontal="right" vertical="center"/>
      <protection hidden="1"/>
    </xf>
    <xf numFmtId="170" fontId="9" fillId="33" borderId="32" xfId="0" applyNumberFormat="1" applyFont="1" applyFill="1" applyBorder="1" applyAlignment="1" applyProtection="1">
      <alignment horizontal="right" vertical="center"/>
      <protection hidden="1"/>
    </xf>
    <xf numFmtId="170" fontId="64" fillId="33" borderId="0" xfId="0" applyNumberFormat="1" applyFont="1" applyFill="1" applyBorder="1" applyAlignment="1" applyProtection="1">
      <alignment horizontal="right" vertical="center"/>
      <protection hidden="1"/>
    </xf>
    <xf numFmtId="170" fontId="9" fillId="0" borderId="33" xfId="54" applyNumberFormat="1" applyFont="1" applyFill="1" applyBorder="1" applyAlignment="1" applyProtection="1">
      <alignment horizontal="right" vertical="center" wrapText="1"/>
      <protection hidden="1"/>
    </xf>
    <xf numFmtId="170" fontId="9" fillId="0" borderId="32" xfId="54" applyNumberFormat="1" applyFont="1" applyFill="1" applyBorder="1" applyAlignment="1" applyProtection="1">
      <alignment horizontal="right" vertical="center" wrapText="1"/>
      <protection hidden="1"/>
    </xf>
    <xf numFmtId="170" fontId="9" fillId="0" borderId="34" xfId="54" applyNumberFormat="1" applyFont="1" applyFill="1" applyBorder="1" applyAlignment="1" applyProtection="1">
      <alignment horizontal="right" vertical="center" wrapText="1"/>
      <protection hidden="1"/>
    </xf>
    <xf numFmtId="0" fontId="75" fillId="0" borderId="31" xfId="0" applyFont="1" applyBorder="1" applyAlignment="1" applyProtection="1">
      <alignment horizontal="center" vertical="center" wrapText="1"/>
      <protection hidden="1"/>
    </xf>
    <xf numFmtId="0" fontId="75" fillId="0" borderId="26" xfId="0" applyFont="1" applyBorder="1" applyAlignment="1" applyProtection="1">
      <alignment horizontal="center" vertical="center" wrapText="1"/>
      <protection hidden="1"/>
    </xf>
    <xf numFmtId="3" fontId="9" fillId="33" borderId="0" xfId="0" applyNumberFormat="1" applyFont="1" applyFill="1" applyBorder="1" applyAlignment="1" applyProtection="1">
      <alignment horizontal="right" vertical="center"/>
      <protection hidden="1"/>
    </xf>
    <xf numFmtId="3" fontId="9" fillId="33" borderId="33" xfId="0" applyNumberFormat="1" applyFont="1" applyFill="1" applyBorder="1" applyAlignment="1" applyProtection="1">
      <alignment horizontal="right" vertical="center"/>
      <protection hidden="1"/>
    </xf>
    <xf numFmtId="0" fontId="0" fillId="0" borderId="0" xfId="0" applyAlignment="1" applyProtection="1">
      <alignment horizontal="center"/>
      <protection hidden="1"/>
    </xf>
    <xf numFmtId="0" fontId="66" fillId="0" borderId="0" xfId="0" applyFont="1" applyAlignment="1" applyProtection="1">
      <alignment horizontal="center"/>
      <protection hidden="1"/>
    </xf>
    <xf numFmtId="0" fontId="47" fillId="0" borderId="0" xfId="0" applyFont="1" applyAlignment="1">
      <alignment horizontal="center"/>
    </xf>
    <xf numFmtId="0" fontId="0" fillId="0" borderId="10" xfId="0" applyBorder="1" applyAlignment="1">
      <alignment horizontal="center" vertical="center"/>
    </xf>
    <xf numFmtId="0" fontId="47" fillId="0" borderId="27" xfId="0" applyFont="1" applyBorder="1" applyAlignment="1">
      <alignment horizontal="center"/>
    </xf>
    <xf numFmtId="0" fontId="47" fillId="0" borderId="47" xfId="0" applyFont="1" applyBorder="1" applyAlignment="1">
      <alignment horizontal="center"/>
    </xf>
    <xf numFmtId="0" fontId="47" fillId="0" borderId="80" xfId="0" applyFont="1" applyBorder="1" applyAlignment="1">
      <alignment horizontal="center"/>
    </xf>
    <xf numFmtId="0" fontId="0" fillId="0" borderId="27" xfId="0" applyBorder="1" applyAlignment="1">
      <alignment horizontal="center" vertical="center"/>
    </xf>
    <xf numFmtId="0" fontId="0" fillId="0" borderId="80" xfId="0" applyBorder="1" applyAlignment="1">
      <alignment horizontal="center" vertical="center"/>
    </xf>
    <xf numFmtId="0" fontId="0" fillId="0" borderId="27" xfId="0" applyBorder="1" applyAlignment="1">
      <alignment horizontal="center" vertical="center" wrapText="1"/>
    </xf>
    <xf numFmtId="0" fontId="0" fillId="0" borderId="47" xfId="0" applyBorder="1" applyAlignment="1">
      <alignment horizontal="center" vertical="center" wrapText="1"/>
    </xf>
    <xf numFmtId="0" fontId="0" fillId="0" borderId="80" xfId="0" applyBorder="1" applyAlignment="1">
      <alignment horizontal="center" vertical="center" wrapText="1"/>
    </xf>
    <xf numFmtId="0" fontId="0" fillId="0" borderId="20" xfId="0" applyBorder="1" applyAlignment="1">
      <alignment horizontal="right" indent="2"/>
    </xf>
    <xf numFmtId="3" fontId="47" fillId="36" borderId="20" xfId="0" applyNumberFormat="1" applyFont="1" applyFill="1" applyBorder="1" applyAlignment="1" applyProtection="1">
      <alignment horizontal="right"/>
      <protection hidden="1"/>
    </xf>
    <xf numFmtId="3" fontId="47" fillId="36" borderId="79" xfId="0" applyNumberFormat="1" applyFont="1" applyFill="1" applyBorder="1" applyAlignment="1" applyProtection="1">
      <alignment horizontal="right"/>
      <protection hidden="1"/>
    </xf>
    <xf numFmtId="14" fontId="0" fillId="36" borderId="27" xfId="0" applyNumberFormat="1" applyFill="1" applyBorder="1" applyAlignment="1" applyProtection="1">
      <alignment horizontal="center"/>
      <protection hidden="1"/>
    </xf>
    <xf numFmtId="14" fontId="0" fillId="36" borderId="80" xfId="0" applyNumberFormat="1" applyFill="1" applyBorder="1" applyAlignment="1" applyProtection="1">
      <alignment horizontal="center"/>
      <protection hidden="1"/>
    </xf>
    <xf numFmtId="0" fontId="0" fillId="0" borderId="21" xfId="0" applyBorder="1" applyAlignment="1">
      <alignment horizontal="right" indent="2"/>
    </xf>
    <xf numFmtId="3" fontId="47" fillId="36" borderId="21" xfId="0" applyNumberFormat="1" applyFont="1" applyFill="1" applyBorder="1" applyAlignment="1" applyProtection="1">
      <alignment horizontal="right"/>
      <protection hidden="1"/>
    </xf>
    <xf numFmtId="3" fontId="47" fillId="36" borderId="78" xfId="0" applyNumberFormat="1" applyFont="1" applyFill="1" applyBorder="1" applyAlignment="1" applyProtection="1">
      <alignment horizontal="right"/>
      <protection hidden="1"/>
    </xf>
    <xf numFmtId="0" fontId="64" fillId="0" borderId="49" xfId="0" applyFont="1" applyBorder="1" applyAlignment="1" applyProtection="1">
      <alignment horizontal="center" vertical="center" wrapText="1"/>
      <protection hidden="1"/>
    </xf>
    <xf numFmtId="0" fontId="64" fillId="0" borderId="55" xfId="0" applyFont="1" applyBorder="1" applyAlignment="1" applyProtection="1">
      <alignment horizontal="center" vertical="center" wrapText="1"/>
      <protection hidden="1"/>
    </xf>
    <xf numFmtId="0" fontId="64" fillId="0" borderId="28" xfId="0" applyFont="1" applyBorder="1" applyAlignment="1" applyProtection="1">
      <alignment horizontal="center" vertical="center" wrapText="1"/>
      <protection hidden="1"/>
    </xf>
    <xf numFmtId="3" fontId="47" fillId="36" borderId="21" xfId="0" applyNumberFormat="1" applyFont="1" applyFill="1" applyBorder="1" applyAlignment="1" applyProtection="1">
      <alignment horizontal="right" vertical="center"/>
      <protection hidden="1"/>
    </xf>
    <xf numFmtId="3" fontId="47" fillId="36" borderId="78" xfId="0" applyNumberFormat="1" applyFont="1" applyFill="1" applyBorder="1" applyAlignment="1" applyProtection="1">
      <alignment horizontal="right" vertical="center"/>
      <protection hidden="1"/>
    </xf>
    <xf numFmtId="3" fontId="47" fillId="36" borderId="0" xfId="0" applyNumberFormat="1" applyFont="1" applyFill="1" applyBorder="1" applyAlignment="1" applyProtection="1">
      <alignment horizontal="right"/>
      <protection hidden="1"/>
    </xf>
    <xf numFmtId="3" fontId="47" fillId="36" borderId="25" xfId="0" applyNumberFormat="1" applyFont="1" applyFill="1" applyBorder="1" applyAlignment="1" applyProtection="1">
      <alignment horizontal="right"/>
      <protection hidden="1"/>
    </xf>
    <xf numFmtId="0" fontId="64" fillId="0" borderId="49" xfId="0" applyFont="1" applyBorder="1" applyAlignment="1" applyProtection="1">
      <alignment horizontal="center" vertical="center"/>
      <protection hidden="1"/>
    </xf>
    <xf numFmtId="0" fontId="64" fillId="0" borderId="55" xfId="0" applyFont="1" applyBorder="1" applyAlignment="1" applyProtection="1">
      <alignment horizontal="center" vertical="center"/>
      <protection hidden="1"/>
    </xf>
    <xf numFmtId="0" fontId="64" fillId="0" borderId="28" xfId="0" applyFont="1" applyBorder="1" applyAlignment="1" applyProtection="1">
      <alignment horizontal="center" vertical="center"/>
      <protection hidden="1"/>
    </xf>
    <xf numFmtId="0" fontId="9" fillId="0" borderId="49" xfId="0" applyFont="1" applyFill="1" applyBorder="1" applyAlignment="1" applyProtection="1">
      <alignment horizontal="center" vertical="center" wrapText="1"/>
      <protection hidden="1"/>
    </xf>
    <xf numFmtId="0" fontId="9" fillId="0" borderId="55" xfId="0" applyFont="1" applyFill="1" applyBorder="1" applyAlignment="1" applyProtection="1">
      <alignment horizontal="center" vertical="center" wrapText="1"/>
      <protection hidden="1"/>
    </xf>
    <xf numFmtId="0" fontId="9" fillId="0" borderId="28" xfId="0" applyFont="1" applyFill="1" applyBorder="1" applyAlignment="1" applyProtection="1">
      <alignment horizontal="center" vertical="center" wrapText="1"/>
      <protection hidden="1"/>
    </xf>
    <xf numFmtId="0" fontId="64" fillId="0" borderId="10" xfId="0" applyFont="1" applyBorder="1" applyAlignment="1" applyProtection="1">
      <alignment horizontal="center" vertical="center" wrapText="1"/>
      <protection hidden="1"/>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B_TR10" xfId="47"/>
    <cellStyle name="Followed Hyperlink" xfId="48"/>
    <cellStyle name="Poznámka" xfId="49"/>
    <cellStyle name="Percent" xfId="50"/>
    <cellStyle name="Procenta 2" xfId="51"/>
    <cellStyle name="Propojená buňka" xfId="52"/>
    <cellStyle name="Správně" xfId="53"/>
    <cellStyle name="Špat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dxfs count="109">
    <dxf>
      <font>
        <strike val="0"/>
        <color theme="0"/>
      </font>
    </dxf>
    <dxf>
      <font>
        <color theme="0"/>
      </font>
    </dxf>
    <dxf>
      <font>
        <b val="0"/>
        <i val="0"/>
        <u val="none"/>
        <strike val="0"/>
        <color theme="0"/>
      </font>
    </dxf>
    <dxf>
      <font>
        <color rgb="FFB5C8AC"/>
      </font>
    </dxf>
    <dxf>
      <font>
        <color auto="1"/>
      </font>
      <fill>
        <patternFill>
          <bgColor rgb="FFB5C8AC"/>
        </patternFill>
      </fill>
    </dxf>
    <dxf>
      <font>
        <color theme="0"/>
      </font>
      <fill>
        <patternFill patternType="solid">
          <bgColor theme="0"/>
        </patternFill>
      </fill>
      <border>
        <right/>
        <top/>
        <bottom/>
      </border>
    </dxf>
    <dxf>
      <font>
        <color auto="1"/>
      </font>
      <fill>
        <patternFill>
          <bgColor rgb="FF87A67A"/>
        </patternFill>
      </fill>
    </dxf>
    <dxf>
      <font>
        <strike val="0"/>
      </font>
      <fill>
        <patternFill>
          <bgColor rgb="FF87A67A"/>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tint="-0.4999699890613556"/>
      </font>
      <fill>
        <patternFill>
          <bgColor theme="6" tint="0.5999600291252136"/>
        </patternFill>
      </fill>
    </dxf>
    <dxf>
      <font>
        <color theme="0"/>
      </font>
      <fill>
        <patternFill patternType="none">
          <bgColor indexed="65"/>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right/>
        <top/>
        <bottom/>
      </border>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ont>
        <u val="none"/>
        <strike val="0"/>
        <color theme="0"/>
      </font>
      <fill>
        <patternFill patternType="solid">
          <bgColor theme="0"/>
        </patternFill>
      </fill>
      <border>
        <left/>
        <right/>
        <top/>
        <bottom/>
      </border>
    </dxf>
    <dxf>
      <fill>
        <patternFill>
          <bgColor indexed="8"/>
        </patternFill>
      </fill>
    </dxf>
    <dxf>
      <fill>
        <patternFill>
          <bgColor indexed="8"/>
        </patternFill>
      </fill>
    </dxf>
    <dxf>
      <fill>
        <patternFill>
          <bgColor indexed="8"/>
        </patternFill>
      </fill>
    </dxf>
    <dxf>
      <font>
        <color indexed="9"/>
      </font>
    </dxf>
    <dxf>
      <fill>
        <patternFill>
          <bgColor indexed="11"/>
        </patternFill>
      </fill>
    </dxf>
    <dxf>
      <font>
        <u val="none"/>
        <strike val="0"/>
        <color theme="0"/>
      </font>
      <fill>
        <patternFill patternType="solid">
          <bgColor theme="0"/>
        </patternFill>
      </fill>
      <border>
        <left>
          <color rgb="FF000000"/>
        </left>
        <right>
          <color rgb="FF000000"/>
        </right>
        <top>
          <color rgb="FF000000"/>
        </top>
        <bottom>
          <color rgb="FF000000"/>
        </bottom>
      </border>
    </dxf>
    <dxf>
      <font>
        <color theme="0"/>
      </font>
      <fill>
        <patternFill patternType="solid">
          <bgColor theme="0"/>
        </patternFill>
      </fill>
      <border>
        <right>
          <color rgb="FF000000"/>
        </right>
        <top>
          <color rgb="FF000000"/>
        </top>
        <bottom>
          <color rgb="FF000000"/>
        </bottom>
      </border>
    </dxf>
    <dxf>
      <font>
        <color theme="0"/>
      </font>
      <fill>
        <patternFill patternType="none">
          <bgColor indexed="65"/>
        </patternFill>
      </fill>
      <border>
        <left>
          <color rgb="FF000000"/>
        </left>
        <right>
          <color rgb="FF000000"/>
        </right>
        <top>
          <color rgb="FF000000"/>
        </top>
        <bottom>
          <color rgb="FF000000"/>
        </bottom>
      </border>
    </dxf>
    <dxf>
      <font>
        <color theme="0" tint="-0.4999699890613556"/>
      </font>
      <fill>
        <patternFill>
          <bgColor theme="6" tint="0.5999600291252136"/>
        </patternFill>
      </fill>
      <border/>
    </dxf>
    <dxf>
      <font>
        <strike val="0"/>
      </font>
      <fill>
        <patternFill>
          <bgColor rgb="FF87A67A"/>
        </patternFill>
      </fill>
      <border/>
    </dxf>
    <dxf>
      <font>
        <color auto="1"/>
      </font>
      <fill>
        <patternFill>
          <bgColor rgb="FF87A67A"/>
        </patternFill>
      </fill>
      <border/>
    </dxf>
    <dxf>
      <font>
        <color auto="1"/>
      </font>
      <fill>
        <patternFill>
          <bgColor rgb="FFB5C8AC"/>
        </patternFill>
      </fill>
      <border/>
    </dxf>
    <dxf>
      <font>
        <color rgb="FFB5C8AC"/>
      </font>
      <border/>
    </dxf>
    <dxf>
      <font>
        <b val="0"/>
        <i val="0"/>
        <u val="none"/>
        <strike val="0"/>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Z&#225;kladn&#237; varianta - podrobnosti'!A1"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hyperlink" Target="#'D&#367;chodov&#225; a v&#283;kov&#225; kalkula&#269;ka'!I22"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342900</xdr:colOff>
      <xdr:row>61</xdr:row>
      <xdr:rowOff>38100</xdr:rowOff>
    </xdr:from>
    <xdr:to>
      <xdr:col>12</xdr:col>
      <xdr:colOff>133350</xdr:colOff>
      <xdr:row>62</xdr:row>
      <xdr:rowOff>123825</xdr:rowOff>
    </xdr:to>
    <xdr:sp>
      <xdr:nvSpPr>
        <xdr:cNvPr id="1" name="Zaoblený obdélník 1">
          <a:hlinkClick r:id="rId1"/>
        </xdr:cNvPr>
        <xdr:cNvSpPr>
          <a:spLocks/>
        </xdr:cNvSpPr>
      </xdr:nvSpPr>
      <xdr:spPr>
        <a:xfrm>
          <a:off x="4391025" y="3781425"/>
          <a:ext cx="1657350" cy="209550"/>
        </a:xfrm>
        <a:prstGeom prst="round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Podrobnosti k výpočtu</a:t>
          </a:r>
        </a:p>
      </xdr:txBody>
    </xdr:sp>
    <xdr:clientData fPrintsWithSheet="0"/>
  </xdr:twoCellAnchor>
  <xdr:twoCellAnchor editAs="oneCell">
    <xdr:from>
      <xdr:col>0</xdr:col>
      <xdr:colOff>0</xdr:colOff>
      <xdr:row>0</xdr:row>
      <xdr:rowOff>19050</xdr:rowOff>
    </xdr:from>
    <xdr:to>
      <xdr:col>0</xdr:col>
      <xdr:colOff>371475</xdr:colOff>
      <xdr:row>3</xdr:row>
      <xdr:rowOff>66675</xdr:rowOff>
    </xdr:to>
    <xdr:pic>
      <xdr:nvPicPr>
        <xdr:cNvPr id="2" name="Obrázek 4"/>
        <xdr:cNvPicPr preferRelativeResize="1">
          <a:picLocks noChangeAspect="1"/>
        </xdr:cNvPicPr>
      </xdr:nvPicPr>
      <xdr:blipFill>
        <a:blip r:embed="rId2"/>
        <a:stretch>
          <a:fillRect/>
        </a:stretch>
      </xdr:blipFill>
      <xdr:spPr>
        <a:xfrm>
          <a:off x="0" y="19050"/>
          <a:ext cx="3714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29</xdr:row>
      <xdr:rowOff>9525</xdr:rowOff>
    </xdr:from>
    <xdr:to>
      <xdr:col>15</xdr:col>
      <xdr:colOff>219075</xdr:colOff>
      <xdr:row>30</xdr:row>
      <xdr:rowOff>76200</xdr:rowOff>
    </xdr:to>
    <xdr:sp>
      <xdr:nvSpPr>
        <xdr:cNvPr id="1" name="Obdélník 1">
          <a:hlinkClick r:id="rId1"/>
        </xdr:cNvPr>
        <xdr:cNvSpPr>
          <a:spLocks/>
        </xdr:cNvSpPr>
      </xdr:nvSpPr>
      <xdr:spPr>
        <a:xfrm>
          <a:off x="4429125" y="3648075"/>
          <a:ext cx="1504950" cy="219075"/>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1</xdr:col>
      <xdr:colOff>38100</xdr:colOff>
      <xdr:row>2</xdr:row>
      <xdr:rowOff>57150</xdr:rowOff>
    </xdr:to>
    <xdr:pic>
      <xdr:nvPicPr>
        <xdr:cNvPr id="2" name="Obrázek 5"/>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40</xdr:row>
      <xdr:rowOff>47625</xdr:rowOff>
    </xdr:from>
    <xdr:to>
      <xdr:col>12</xdr:col>
      <xdr:colOff>180975</xdr:colOff>
      <xdr:row>41</xdr:row>
      <xdr:rowOff>123825</xdr:rowOff>
    </xdr:to>
    <xdr:sp>
      <xdr:nvSpPr>
        <xdr:cNvPr id="1" name="Obdélník 1">
          <a:hlinkClick r:id="rId1"/>
        </xdr:cNvPr>
        <xdr:cNvSpPr>
          <a:spLocks/>
        </xdr:cNvSpPr>
      </xdr:nvSpPr>
      <xdr:spPr>
        <a:xfrm>
          <a:off x="4410075" y="5248275"/>
          <a:ext cx="1524000" cy="228600"/>
        </a:xfrm>
        <a:prstGeom prst="rect">
          <a:avLst/>
        </a:prstGeom>
        <a:gradFill rotWithShape="1">
          <a:gsLst>
            <a:gs pos="0">
              <a:srgbClr val="B5C8AC"/>
            </a:gs>
            <a:gs pos="35001">
              <a:srgbClr val="B5C8AC"/>
            </a:gs>
            <a:gs pos="100000">
              <a:srgbClr val="87A67A"/>
            </a:gs>
          </a:gsLst>
          <a:lin ang="5400000" scaled="1"/>
        </a:gradFill>
        <a:ln w="9525" cmpd="sng">
          <a:solidFill>
            <a:srgbClr val="98B954"/>
          </a:solidFill>
          <a:headEnd type="none"/>
          <a:tailEnd type="none"/>
        </a:ln>
      </xdr:spPr>
      <xdr:txBody>
        <a:bodyPr vertOverflow="clip" wrap="square" anchor="ctr"/>
        <a:p>
          <a:pPr algn="ctr">
            <a:defRPr/>
          </a:pPr>
          <a:r>
            <a:rPr lang="en-US" cap="none" sz="1200" b="1" i="0" u="none" baseline="0">
              <a:solidFill>
                <a:srgbClr val="000000"/>
              </a:solidFill>
            </a:rPr>
            <a:t>Zpět na</a:t>
          </a:r>
          <a:r>
            <a:rPr lang="en-US" cap="none" sz="1200" b="1" i="0" u="none" baseline="0">
              <a:solidFill>
                <a:srgbClr val="000000"/>
              </a:solidFill>
            </a:rPr>
            <a:t> kalkulačku</a:t>
          </a:r>
        </a:p>
      </xdr:txBody>
    </xdr:sp>
    <xdr:clientData fPrintsWithSheet="0"/>
  </xdr:twoCellAnchor>
  <xdr:twoCellAnchor editAs="oneCell">
    <xdr:from>
      <xdr:col>0</xdr:col>
      <xdr:colOff>0</xdr:colOff>
      <xdr:row>0</xdr:row>
      <xdr:rowOff>9525</xdr:rowOff>
    </xdr:from>
    <xdr:to>
      <xdr:col>0</xdr:col>
      <xdr:colOff>371475</xdr:colOff>
      <xdr:row>2</xdr:row>
      <xdr:rowOff>57150</xdr:rowOff>
    </xdr:to>
    <xdr:pic>
      <xdr:nvPicPr>
        <xdr:cNvPr id="2" name="Obrázek 2"/>
        <xdr:cNvPicPr preferRelativeResize="1">
          <a:picLocks noChangeAspect="1"/>
        </xdr:cNvPicPr>
      </xdr:nvPicPr>
      <xdr:blipFill>
        <a:blip r:embed="rId2"/>
        <a:stretch>
          <a:fillRect/>
        </a:stretch>
      </xdr:blipFill>
      <xdr:spPr>
        <a:xfrm>
          <a:off x="0" y="9525"/>
          <a:ext cx="3714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ssz.cz/NR/rdonlyres/EE94EA15-D51E-4870-9332-77A87FB0E781/0/Kalkula&#269;ka_N&#225;vod_161018_FINAL17.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L286"/>
  <sheetViews>
    <sheetView showGridLines="0" showRowColHeaders="0" tabSelected="1" zoomScaleSheetLayoutView="100" workbookViewId="0" topLeftCell="A1">
      <selection activeCell="L7" sqref="L7"/>
    </sheetView>
  </sheetViews>
  <sheetFormatPr defaultColWidth="9.140625" defaultRowHeight="12.75"/>
  <cols>
    <col min="1" max="1" width="8.8515625" style="5" customWidth="1"/>
    <col min="2" max="2" width="7.421875" style="5" customWidth="1"/>
    <col min="3" max="3" width="6.7109375" style="5" customWidth="1"/>
    <col min="4" max="4" width="9.8515625" style="5" customWidth="1"/>
    <col min="5" max="5" width="2.421875" style="5" customWidth="1"/>
    <col min="6" max="7" width="7.7109375" style="5" customWidth="1"/>
    <col min="8" max="8" width="1.7109375" style="5" customWidth="1"/>
    <col min="9" max="9" width="8.28125" style="5" customWidth="1"/>
    <col min="10" max="10" width="8.7109375" style="5" customWidth="1"/>
    <col min="11" max="11" width="6.7109375" style="5" customWidth="1"/>
    <col min="12" max="12" width="12.57421875" style="5" bestFit="1" customWidth="1"/>
    <col min="13" max="13" width="2.57421875" style="5" customWidth="1"/>
    <col min="14" max="14" width="9.140625" style="0" customWidth="1"/>
    <col min="15" max="15" width="11.140625" style="0" hidden="1" customWidth="1"/>
    <col min="16" max="16" width="9.140625" style="0" hidden="1" customWidth="1"/>
    <col min="17" max="17" width="11.140625" style="0" hidden="1" customWidth="1"/>
    <col min="18" max="18" width="9.8515625" style="0" hidden="1" customWidth="1"/>
    <col min="19" max="20" width="11.57421875" style="0" hidden="1" customWidth="1"/>
    <col min="21" max="22" width="9.140625" style="0" hidden="1" customWidth="1"/>
    <col min="32" max="16384" width="9.140625" style="5" customWidth="1"/>
  </cols>
  <sheetData>
    <row r="1" spans="1:64" ht="12" customHeight="1" thickBot="1">
      <c r="A1" s="88"/>
      <c r="B1" s="86" t="s">
        <v>79</v>
      </c>
      <c r="C1" s="87"/>
      <c r="D1" s="87"/>
      <c r="E1" s="87"/>
      <c r="F1" s="87"/>
      <c r="G1" s="87"/>
      <c r="H1" s="87"/>
      <c r="I1" s="87"/>
      <c r="J1" s="87"/>
      <c r="K1" s="86" t="str">
        <f>IF(ISBLANK(datprizn)," ",YEAR(datprizn))</f>
        <v> </v>
      </c>
      <c r="L1" s="88"/>
      <c r="M1" s="87"/>
      <c r="N1" s="8"/>
      <c r="O1" s="66"/>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row>
    <row r="2" spans="1:64" ht="1.5" customHeight="1">
      <c r="A2" s="57"/>
      <c r="B2" s="57"/>
      <c r="C2" s="57"/>
      <c r="D2" s="57"/>
      <c r="E2" s="57"/>
      <c r="F2" s="57"/>
      <c r="G2" s="57"/>
      <c r="H2" s="57"/>
      <c r="I2" s="57"/>
      <c r="J2" s="57"/>
      <c r="K2" s="57"/>
      <c r="L2" s="33"/>
      <c r="M2" s="35"/>
      <c r="N2" s="8"/>
      <c r="O2" s="66"/>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row>
    <row r="3" spans="1:64" ht="11.25" customHeight="1">
      <c r="A3" s="419" t="s">
        <v>68</v>
      </c>
      <c r="B3" s="419"/>
      <c r="C3" s="419"/>
      <c r="D3" s="419"/>
      <c r="E3" s="419"/>
      <c r="F3" s="419"/>
      <c r="G3" s="419"/>
      <c r="H3" s="419"/>
      <c r="I3" s="419"/>
      <c r="J3" s="419"/>
      <c r="K3" s="419"/>
      <c r="L3" s="419"/>
      <c r="M3" s="419"/>
      <c r="N3" s="8"/>
      <c r="O3" s="66"/>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row>
    <row r="4" spans="1:64" ht="7.5" customHeight="1">
      <c r="A4" s="13"/>
      <c r="B4" s="13"/>
      <c r="C4" s="13"/>
      <c r="D4" s="13"/>
      <c r="E4" s="13"/>
      <c r="F4" s="13"/>
      <c r="G4" s="13"/>
      <c r="H4" s="13"/>
      <c r="I4" s="13"/>
      <c r="J4" s="13"/>
      <c r="K4" s="13"/>
      <c r="L4" s="13"/>
      <c r="M4" s="13"/>
      <c r="N4" s="8"/>
      <c r="O4" s="66"/>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row>
    <row r="5" spans="1:64" ht="10.5" customHeight="1">
      <c r="A5" s="123" t="s">
        <v>83</v>
      </c>
      <c r="B5" s="124"/>
      <c r="C5" s="124"/>
      <c r="D5" s="124"/>
      <c r="E5" s="124"/>
      <c r="F5" s="124"/>
      <c r="G5" s="124"/>
      <c r="H5" s="124"/>
      <c r="I5" s="124"/>
      <c r="J5" s="124"/>
      <c r="K5" s="124"/>
      <c r="L5" s="124"/>
      <c r="M5" s="125"/>
      <c r="N5" s="8"/>
      <c r="O5" s="66"/>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row>
    <row r="6" spans="1:64" ht="7.5" customHeight="1">
      <c r="A6" s="126"/>
      <c r="B6" s="14"/>
      <c r="C6" s="14"/>
      <c r="D6" s="14"/>
      <c r="E6" s="14"/>
      <c r="F6" s="14"/>
      <c r="G6" s="14"/>
      <c r="H6" s="14"/>
      <c r="I6" s="14"/>
      <c r="J6" s="14"/>
      <c r="K6" s="14"/>
      <c r="L6" s="14"/>
      <c r="M6" s="127"/>
      <c r="N6" s="8"/>
      <c r="O6" s="66"/>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row>
    <row r="7" spans="1:64" ht="10.5" customHeight="1">
      <c r="A7" s="128" t="s">
        <v>0</v>
      </c>
      <c r="B7" s="14"/>
      <c r="C7" s="14"/>
      <c r="D7" s="11"/>
      <c r="E7" s="14"/>
      <c r="F7" s="15"/>
      <c r="G7" s="15"/>
      <c r="H7" s="15"/>
      <c r="I7" s="14"/>
      <c r="J7" s="14"/>
      <c r="K7" s="14"/>
      <c r="L7" s="143"/>
      <c r="M7" s="127"/>
      <c r="N7" s="8"/>
      <c r="O7" s="6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row>
    <row r="8" spans="1:15" s="7" customFormat="1" ht="7.5" customHeight="1">
      <c r="A8" s="126"/>
      <c r="B8" s="14"/>
      <c r="C8" s="14"/>
      <c r="D8" s="14"/>
      <c r="E8" s="14"/>
      <c r="F8" s="14"/>
      <c r="G8" s="14"/>
      <c r="H8" s="14"/>
      <c r="I8" s="14"/>
      <c r="J8" s="14"/>
      <c r="K8" s="14"/>
      <c r="L8" s="10"/>
      <c r="M8" s="127"/>
      <c r="O8" s="66"/>
    </row>
    <row r="9" spans="1:64" ht="10.5" customHeight="1">
      <c r="A9" s="126" t="s">
        <v>6</v>
      </c>
      <c r="B9" s="14"/>
      <c r="C9" s="14"/>
      <c r="D9" s="14"/>
      <c r="E9" s="14"/>
      <c r="F9" s="15"/>
      <c r="G9" s="15"/>
      <c r="H9" s="15"/>
      <c r="I9" s="14"/>
      <c r="J9" s="14"/>
      <c r="K9" s="14"/>
      <c r="L9" s="144"/>
      <c r="M9" s="127"/>
      <c r="N9" s="8"/>
      <c r="O9" s="66"/>
      <c r="P9" s="7"/>
      <c r="Q9" s="7"/>
      <c r="R9" s="7"/>
      <c r="S9" s="7" t="s">
        <v>46</v>
      </c>
      <c r="T9" s="7" t="s">
        <v>45</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row>
    <row r="10" spans="1:13" s="7" customFormat="1" ht="4.5" customHeight="1">
      <c r="A10" s="126"/>
      <c r="B10" s="14"/>
      <c r="C10" s="14"/>
      <c r="D10" s="14"/>
      <c r="E10" s="14"/>
      <c r="F10" s="14"/>
      <c r="G10" s="14"/>
      <c r="H10" s="14"/>
      <c r="I10" s="14"/>
      <c r="J10" s="14"/>
      <c r="K10" s="14"/>
      <c r="L10" s="10"/>
      <c r="M10" s="127"/>
    </row>
    <row r="11" spans="1:64" ht="10.5" customHeight="1">
      <c r="A11" s="126" t="s">
        <v>1</v>
      </c>
      <c r="B11" s="14"/>
      <c r="C11" s="14"/>
      <c r="D11" s="14"/>
      <c r="E11" s="14"/>
      <c r="F11" s="15"/>
      <c r="G11" s="15"/>
      <c r="H11" s="15"/>
      <c r="I11" s="14"/>
      <c r="J11" s="14"/>
      <c r="K11" s="14"/>
      <c r="L11" s="289">
        <v>3</v>
      </c>
      <c r="M11" s="127"/>
      <c r="N11" s="8"/>
      <c r="O11" s="66" t="s">
        <v>106</v>
      </c>
      <c r="P11" s="7"/>
      <c r="Q11" s="7" t="s">
        <v>107</v>
      </c>
      <c r="R11" s="66"/>
      <c r="S11" s="66" t="s">
        <v>108</v>
      </c>
      <c r="T11" s="66" t="s">
        <v>108</v>
      </c>
      <c r="U11" s="66"/>
      <c r="V11" s="66"/>
      <c r="W11" s="66"/>
      <c r="X11" s="66"/>
      <c r="Y11" s="66"/>
      <c r="Z11" s="66"/>
      <c r="AA11" s="66"/>
      <c r="AB11" s="66"/>
      <c r="AC11" s="66"/>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row>
    <row r="12" spans="1:64" ht="4.5" customHeight="1">
      <c r="A12" s="126"/>
      <c r="B12" s="14"/>
      <c r="C12" s="14"/>
      <c r="D12" s="14"/>
      <c r="E12" s="14"/>
      <c r="F12" s="15"/>
      <c r="G12" s="15"/>
      <c r="H12" s="15"/>
      <c r="I12" s="14"/>
      <c r="J12" s="14"/>
      <c r="K12" s="14"/>
      <c r="L12" s="288"/>
      <c r="M12" s="127"/>
      <c r="N12" s="8"/>
      <c r="P12" s="7"/>
      <c r="Q12" s="7"/>
      <c r="R12" s="66"/>
      <c r="S12" s="66"/>
      <c r="T12" s="66"/>
      <c r="U12" s="66"/>
      <c r="V12" s="66"/>
      <c r="W12" s="66"/>
      <c r="X12" s="66"/>
      <c r="Y12" s="66"/>
      <c r="Z12" s="66"/>
      <c r="AA12" s="66"/>
      <c r="AB12" s="66"/>
      <c r="AC12" s="66"/>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64" ht="10.5" customHeight="1">
      <c r="A13" s="126" t="s">
        <v>101</v>
      </c>
      <c r="B13" s="14"/>
      <c r="C13" s="14"/>
      <c r="D13" s="14"/>
      <c r="E13" s="14"/>
      <c r="F13" s="15"/>
      <c r="G13" s="15"/>
      <c r="H13" s="15"/>
      <c r="I13" s="14"/>
      <c r="J13" s="14"/>
      <c r="K13" s="14"/>
      <c r="L13" s="143"/>
      <c r="M13" s="127"/>
      <c r="N13" s="8"/>
      <c r="O13" s="162">
        <f>IF(YEAR(narozeni)&lt;1936,IF(pohlavi="žena",IF(deti=0,DATE(YEAR(narozeni)+'Důchodový věk'!D4,MONTH(narozeni),DAY(dennar)),IF(deti=1,DATE(YEAR(narozeni)+'Důchodový věk'!F4,MONTH(narozeni),DAY(dennar)),IF(deti=2,DATE(YEAR(narozeni)+'Důchodový věk'!H4,MONTH(narozeni),DAY(dennar)),IF(OR(deti=3,deti=4),DATE(YEAR(narozeni)+'Důchodový věk'!J4,MONTH(narozeni),DAY(dennar)),DATE(YEAR(narozeni)+'Důchodový věk'!L4,MONTH(narozeni),DAY(dennar)))))),DATE(YEAR(narozeni)+'Důchodový věk'!B4,MONTH(narozeni),DAY(dennar))))</f>
        <v>21915</v>
      </c>
      <c r="P13" s="7"/>
      <c r="Q13" s="290" t="b">
        <f>IF(YEAR(narozeni)&gt;1971,DATE(YEAR(narozeni)+65,MONTH(narozeni),DAY(dennar)),IF(pohlavi="žena",IF(deti=0,DATE(YEAR(narozeni)+VLOOKUP(YEAR(narozeni),zeny,4),MONTH(narozeni)+VLOOKUP(YEAR(narozeni),zeny,5),DAY(dennar)),)))</f>
        <v>0</v>
      </c>
      <c r="R13" s="7"/>
      <c r="S13" s="290" t="b">
        <f>IF(pohlavi="žena",IF(deti=0,DATE(YEAR(narozeni)+VLOOKUP(YEAR(narozeni),zeny,4),MONTH(narozeni)+VLOOKUP(YEAR(narozeni),zeny,5),DAY(dennar)),IF(deti=1,DATE(YEAR(narozeni)+VLOOKUP(YEAR(narozeni),zeny,6),MONTH(narozeni)+VLOOKUP(YEAR(narozeni),zeny,7),DAY(dennar)),IF(deti=2,DATE(YEAR(narozeni)+VLOOKUP(YEAR(narozeni),zeny,8),MONTH(narozeni)+VLOOKUP(YEAR(narozeni),zeny,9),DAY(dennar)),IF(OR(deti=3,deti=4),DATE(YEAR(narozeni)+VLOOKUP(YEAR(narozeni),zeny,10),MONTH(narozeni)+VLOOKUP(YEAR(narozeni),zeny,11),DAY(dennar)),DATE(YEAR(narozeni)+VLOOKUP(YEAR(narozeni),zeny,12),MONTH(narozeni)+VLOOKUP(YEAR(narozeni),zeny,13),DAY(dennar)))))))</f>
        <v>0</v>
      </c>
      <c r="T13" s="290" t="e">
        <f>IF(pohlavi&lt;&gt;"žena",DATE(YEAR(narozeni)+VLOOKUP(YEAR(narozeni),muzi,2),MONTH(narozeni)+VLOOKUP(YEAR(narozeni),muzi,3),DAY(dennar)))</f>
        <v>#N/A</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row>
    <row r="14" spans="1:64" ht="7.5" customHeight="1" hidden="1">
      <c r="A14" s="126"/>
      <c r="B14" s="14"/>
      <c r="C14" s="14"/>
      <c r="D14" s="14"/>
      <c r="E14" s="14"/>
      <c r="F14" s="14"/>
      <c r="G14" s="14"/>
      <c r="H14" s="14"/>
      <c r="I14" s="14"/>
      <c r="J14" s="14"/>
      <c r="K14" s="14"/>
      <c r="L14" s="11"/>
      <c r="M14" s="127"/>
      <c r="N14" s="8"/>
      <c r="O14" s="66"/>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row>
    <row r="15" spans="1:64" ht="12" customHeight="1" hidden="1">
      <c r="A15" s="129" t="s">
        <v>13</v>
      </c>
      <c r="B15" s="14"/>
      <c r="C15" s="14"/>
      <c r="D15" s="14"/>
      <c r="E15" s="14"/>
      <c r="F15" s="14"/>
      <c r="G15" s="14"/>
      <c r="H15" s="14"/>
      <c r="I15" s="14"/>
      <c r="J15" s="14"/>
      <c r="K15" s="14"/>
      <c r="L15" s="12"/>
      <c r="M15" s="133"/>
      <c r="N15" s="8"/>
      <c r="O15" s="66"/>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row>
    <row r="16" spans="1:64" ht="7.5" customHeight="1">
      <c r="A16" s="129"/>
      <c r="B16" s="14"/>
      <c r="C16" s="14"/>
      <c r="D16" s="14"/>
      <c r="E16" s="14"/>
      <c r="F16" s="14"/>
      <c r="G16" s="14"/>
      <c r="H16" s="14"/>
      <c r="I16" s="14"/>
      <c r="J16" s="14"/>
      <c r="K16" s="14"/>
      <c r="L16" s="12"/>
      <c r="M16" s="133"/>
      <c r="N16" s="8"/>
      <c r="O16" s="6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row>
    <row r="17" spans="1:64" ht="10.5" customHeight="1">
      <c r="A17" s="128" t="s">
        <v>91</v>
      </c>
      <c r="B17" s="14"/>
      <c r="C17" s="14"/>
      <c r="D17" s="14"/>
      <c r="E17" s="14"/>
      <c r="F17" s="15"/>
      <c r="G17" s="15"/>
      <c r="H17" s="15"/>
      <c r="I17" s="14"/>
      <c r="J17" s="14"/>
      <c r="K17" s="14"/>
      <c r="L17" s="145"/>
      <c r="M17" s="135">
        <f>ROUND(skutpoclet,0)*0.015</f>
        <v>0</v>
      </c>
      <c r="N17" s="8"/>
      <c r="O17" s="162">
        <f>IF(YEAR(narozeni)&lt;1936,IF(pohlavi="žena",IF(deti=0,DATE(YEAR(narozeni)+'Důchodový věk'!D8,MONTH(narozeni),1),IF(deti=1,DATE(YEAR(narozeni)+'Důchodový věk'!F8,MONTH(narozeni),1),IF(deti=2,DATE(YEAR(narozeni)+'Důchodový věk'!H8,MONTH(narozeni),1),IF(OR(deti=3,deti=4),DATE(YEAR(narozeni)+'Důchodový věk'!J8,MONTH(narozeni),1),DATE(YEAR(narozeni)+'Důchodový věk'!L8,MONTH(narozeni),1))))),DATE(YEAR(narozeni)+'Důchodový věk'!B8,MONTH(narozeni),1)))</f>
        <v>21916</v>
      </c>
      <c r="P17" s="7"/>
      <c r="Q17" s="290" t="b">
        <f>IF(YEAR(narozeni)&gt;1971,DATE(YEAR(narozeni)+65,MONTH(narozeni),1),IF(pohlavi="žena",IF(deti=0,DATE(YEAR(narozeni)+VLOOKUP(YEAR(narozeni),zeny,4),MONTH(narozeni)+VLOOKUP(YEAR(narozeni),zeny,5),1),)))</f>
        <v>0</v>
      </c>
      <c r="R17" s="7"/>
      <c r="S17" s="290" t="b">
        <f>IF(pohlavi="žena",IF(deti=0,DATE(YEAR(narozeni)+VLOOKUP(YEAR(narozeni),zeny,4),MONTH(narozeni)+VLOOKUP(YEAR(narozeni),zeny,5),1),IF(deti=1,DATE(YEAR(narozeni)+VLOOKUP(YEAR(narozeni),zeny,6),MONTH(narozeni)+VLOOKUP(YEAR(narozeni),zeny,7),1),IF(deti=2,DATE(YEAR(narozeni)+VLOOKUP(YEAR(narozeni),zeny,8),MONTH(narozeni)+VLOOKUP(YEAR(narozeni),zeny,9),1),IF(OR(deti=3,deti=4),DATE(YEAR(narozeni)+VLOOKUP(YEAR(narozeni),zeny,10),MONTH(narozeni)+VLOOKUP(YEAR(narozeni),zeny,11),1),DATE(YEAR(narozeni)+VLOOKUP(YEAR(narozeni),zeny,12),MONTH(narozeni)+VLOOKUP(YEAR(narozeni),zeny,13),1))))))</f>
        <v>0</v>
      </c>
      <c r="T17" s="290" t="e">
        <f>IF(pohlavi&lt;&gt;"žena",DATE(YEAR(narozeni)+VLOOKUP(YEAR(narozeni),muzi,2),MONTH(narozeni)+VLOOKUP(YEAR(narozeni),muzi,3),1))</f>
        <v>#N/A</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row>
    <row r="18" spans="1:64" ht="4.5" customHeight="1">
      <c r="A18" s="128"/>
      <c r="B18" s="14"/>
      <c r="C18" s="14"/>
      <c r="D18" s="14"/>
      <c r="E18" s="14"/>
      <c r="F18" s="15"/>
      <c r="G18" s="15"/>
      <c r="H18" s="15"/>
      <c r="I18" s="14"/>
      <c r="J18" s="14"/>
      <c r="K18" s="14"/>
      <c r="L18" s="285"/>
      <c r="M18" s="135"/>
      <c r="N18" s="8"/>
      <c r="O18" s="5"/>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64" ht="10.5" customHeight="1">
      <c r="A19" s="287" t="s">
        <v>90</v>
      </c>
      <c r="B19" s="14"/>
      <c r="C19" s="14"/>
      <c r="D19" s="14"/>
      <c r="E19" s="14"/>
      <c r="F19" s="15"/>
      <c r="G19" s="15"/>
      <c r="H19" s="15"/>
      <c r="I19" s="14"/>
      <c r="J19" s="14"/>
      <c r="K19" s="14"/>
      <c r="L19" s="145"/>
      <c r="M19" s="135"/>
      <c r="N19" s="8"/>
      <c r="O19" s="5">
        <f>IF(datprizn&gt;narokst,datprizn-narokst,IF(ISBLANK(datprizn),1000000,0))+3</f>
        <v>1000003</v>
      </c>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row>
    <row r="20" spans="1:64" ht="4.5" customHeight="1">
      <c r="A20" s="130"/>
      <c r="B20" s="131"/>
      <c r="C20" s="131"/>
      <c r="D20" s="131"/>
      <c r="E20" s="131"/>
      <c r="F20" s="132"/>
      <c r="G20" s="132"/>
      <c r="H20" s="132"/>
      <c r="I20" s="131"/>
      <c r="J20" s="131"/>
      <c r="K20" s="131"/>
      <c r="L20" s="284"/>
      <c r="M20" s="134"/>
      <c r="N20" s="8"/>
      <c r="O20" s="66"/>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29" s="7" customFormat="1" ht="4.5" customHeight="1">
      <c r="A21" s="14"/>
      <c r="B21" s="14"/>
      <c r="C21" s="14"/>
      <c r="D21" s="14"/>
      <c r="E21" s="14"/>
      <c r="F21" s="14"/>
      <c r="G21" s="14"/>
      <c r="H21" s="14"/>
      <c r="I21" s="14"/>
      <c r="J21" s="14"/>
      <c r="K21" s="14"/>
      <c r="L21" s="10"/>
      <c r="M21" s="14"/>
      <c r="O21" s="66"/>
      <c r="R21" s="66"/>
      <c r="S21" s="66"/>
      <c r="T21" s="66"/>
      <c r="U21" s="66"/>
      <c r="V21" s="66"/>
      <c r="W21" s="66"/>
      <c r="X21" s="66"/>
      <c r="Y21" s="66"/>
      <c r="Z21" s="66"/>
      <c r="AA21" s="66"/>
      <c r="AB21" s="66"/>
      <c r="AC21" s="66"/>
    </row>
    <row r="22" spans="1:64" ht="10.5" customHeight="1">
      <c r="A22" s="14" t="s">
        <v>80</v>
      </c>
      <c r="B22" s="14"/>
      <c r="C22" s="14"/>
      <c r="D22" s="14"/>
      <c r="E22" s="11"/>
      <c r="F22" s="14"/>
      <c r="G22" s="14"/>
      <c r="H22" s="14"/>
      <c r="I22" s="14"/>
      <c r="J22" s="14"/>
      <c r="K22" s="14"/>
      <c r="L22" s="113" t="str">
        <f>IF(ISBLANK(narozeni)," ",IF(YEAR(narozeni)&lt;1936,O13,IF(YEAR(narozeni)&gt;1971,Q13,IF(pohlavi="žena",S13,T13))))</f>
        <v> </v>
      </c>
      <c r="M22" s="14"/>
      <c r="N22" s="8"/>
      <c r="O22" s="161">
        <f>IF(YEAR(narozeni)&lt;1936,O17,IF(YEAR(narozeni)&gt;1971,Q17,IF(pohlavi="žena",S17,T17)))</f>
        <v>21916</v>
      </c>
      <c r="P22" s="7"/>
      <c r="Q22" s="7" t="str">
        <f>IF(MONTH(DATE(YEAR(mesicnaroku),2,29))=2,"a","n")</f>
        <v>a</v>
      </c>
      <c r="R22" s="66">
        <f>IF(MONTH(mesicnaroku)=2,IF(OR(DAY(narozeni)=31,DAY(narozeni)=30,DAY(narozeni)=29),IF(Q22="n",28,29),DAY(narozeni)),IF(OR(MONTH(mesicnaroku)=4,MONTH(mesicnaroku)=6,MONTH(mesicnaroku)=9,MONTH(mesicnaroku)=11),IF(DAY(narozeni)=31,30,DAY(narozeni)),DAY(narozeni)))</f>
        <v>0</v>
      </c>
      <c r="S22" s="66"/>
      <c r="T22" s="66"/>
      <c r="U22" s="66"/>
      <c r="V22" s="66"/>
      <c r="W22" s="66"/>
      <c r="X22" s="66"/>
      <c r="Y22" s="66"/>
      <c r="Z22" s="66"/>
      <c r="AA22" s="66"/>
      <c r="AB22" s="66"/>
      <c r="AC22" s="66"/>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row>
    <row r="23" spans="1:29" s="7" customFormat="1" ht="4.5" customHeight="1">
      <c r="A23" s="36"/>
      <c r="B23" s="14"/>
      <c r="C23" s="14"/>
      <c r="D23" s="14"/>
      <c r="E23" s="14"/>
      <c r="F23" s="14"/>
      <c r="G23" s="14"/>
      <c r="H23" s="14"/>
      <c r="I23" s="14"/>
      <c r="J23" s="14"/>
      <c r="K23" s="14"/>
      <c r="M23" s="14"/>
      <c r="O23" s="66"/>
      <c r="R23" s="66"/>
      <c r="S23" s="66"/>
      <c r="T23" s="66"/>
      <c r="U23" s="66"/>
      <c r="V23" s="66"/>
      <c r="W23" s="66"/>
      <c r="X23" s="66"/>
      <c r="Y23" s="66"/>
      <c r="Z23" s="66"/>
      <c r="AA23" s="66"/>
      <c r="AB23" s="66"/>
      <c r="AC23" s="66"/>
    </row>
    <row r="24" spans="1:18" s="7" customFormat="1" ht="10.5" customHeight="1">
      <c r="A24" s="14" t="s">
        <v>81</v>
      </c>
      <c r="B24" s="14"/>
      <c r="C24" s="14"/>
      <c r="D24" s="14"/>
      <c r="E24" s="14"/>
      <c r="F24" s="14"/>
      <c r="G24" s="14"/>
      <c r="H24" s="14"/>
      <c r="I24" s="14"/>
      <c r="J24" s="14"/>
      <c r="K24" s="14"/>
      <c r="L24" s="113" t="str">
        <f>IF(ISBLANK(narozeni)," ",narokpredc)</f>
        <v> </v>
      </c>
      <c r="M24" s="14"/>
      <c r="O24" s="161" t="e">
        <f>DATE(YEAR(narokst)-3,MONTH(narokst),1)</f>
        <v>#VALUE!</v>
      </c>
      <c r="Q24" s="7" t="e">
        <f>IF(MONTH(DATE(YEAR(narpredc),2,29))=2,"a","n")</f>
        <v>#VALUE!</v>
      </c>
      <c r="R24" s="7" t="e">
        <f>IF(MONTH(narpredc)=2,IF(OR(DAY(narozeni)=31,DAY(narozeni)=30,DAY(narozeni)=29),IF(Q24="n",28,29),DAY(narozeni)),IF(OR(MONTH(narpredc)=4,MONTH(narpredc)=6,MONTH(narpredc)=9,MONTH(narpredc)=11),IF(DAY(narozeni)=31,30,DAY(narozeni)),DAY(narozeni)))</f>
        <v>#VALUE!</v>
      </c>
    </row>
    <row r="25" spans="1:15" s="7" customFormat="1" ht="4.5" customHeight="1">
      <c r="A25" s="14"/>
      <c r="B25" s="14"/>
      <c r="C25" s="14"/>
      <c r="D25" s="14"/>
      <c r="E25" s="14"/>
      <c r="F25" s="14"/>
      <c r="G25" s="14"/>
      <c r="H25" s="14"/>
      <c r="I25" s="14"/>
      <c r="J25" s="14"/>
      <c r="K25" s="14"/>
      <c r="L25" s="168"/>
      <c r="M25" s="14"/>
      <c r="O25" s="161"/>
    </row>
    <row r="26" spans="1:15" s="7" customFormat="1" ht="10.5" customHeight="1">
      <c r="A26" s="5" t="s">
        <v>94</v>
      </c>
      <c r="B26" s="14"/>
      <c r="C26" s="14"/>
      <c r="D26" s="14"/>
      <c r="E26" s="14"/>
      <c r="F26" s="14"/>
      <c r="G26" s="14"/>
      <c r="H26" s="14"/>
      <c r="I26" s="14"/>
      <c r="J26" s="14"/>
      <c r="K26" s="14"/>
      <c r="L26" s="113" t="str">
        <f ca="1">IF(ISBLANK(datprizn)," ",IF(narokpredc&lt;TODAY(),IF(narokst&gt;TODAY(),TODAY()," "),narokpredc))</f>
        <v> </v>
      </c>
      <c r="M26" s="14"/>
      <c r="O26" s="161"/>
    </row>
    <row r="27" spans="1:15" s="7" customFormat="1" ht="7.5" customHeight="1">
      <c r="A27" s="14"/>
      <c r="B27" s="14"/>
      <c r="C27" s="14"/>
      <c r="D27" s="14"/>
      <c r="E27" s="14"/>
      <c r="F27" s="14"/>
      <c r="G27" s="14"/>
      <c r="H27" s="14"/>
      <c r="I27" s="14"/>
      <c r="J27" s="14"/>
      <c r="K27" s="14"/>
      <c r="L27" s="26"/>
      <c r="M27" s="14"/>
      <c r="O27" s="66"/>
    </row>
    <row r="28" spans="1:15" s="7" customFormat="1" ht="10.5" customHeight="1">
      <c r="A28" s="14" t="s">
        <v>82</v>
      </c>
      <c r="B28" s="14"/>
      <c r="C28" s="14"/>
      <c r="D28" s="14"/>
      <c r="E28" s="14"/>
      <c r="F28" s="14"/>
      <c r="G28" s="14"/>
      <c r="H28" s="14"/>
      <c r="I28" s="14"/>
      <c r="J28" s="14"/>
      <c r="K28" s="14"/>
      <c r="L28" s="114">
        <f>IF(ISBLANK(datprizn),IF(ISBLANK(narozeni),0,IF(YEAR(narokst)&lt;2010,25,IF(YEAR(narokst)&gt;2018,35,VLOOKUP(YEAR(narokst),'Důchodový věk'!Q3:R13,2)))),IF(YEAR(narokst)&lt;2010,25,IF(YEAR(narokst)&gt;2018,35,VLOOKUP(YEAR(narokst),'Důchodový věk'!Q3:R13,2))))</f>
        <v>0</v>
      </c>
      <c r="M28" s="14"/>
      <c r="O28" s="162" t="e">
        <f>DATE(YEAR(narpredc),MONTH(narpredc),DAY(R24))</f>
        <v>#VALUE!</v>
      </c>
    </row>
    <row r="29" spans="1:15" s="7" customFormat="1" ht="7.5" customHeight="1" hidden="1">
      <c r="A29" s="14"/>
      <c r="B29" s="14"/>
      <c r="C29" s="14"/>
      <c r="D29" s="14"/>
      <c r="E29" s="14"/>
      <c r="F29" s="14"/>
      <c r="G29" s="14"/>
      <c r="H29" s="14"/>
      <c r="I29" s="14"/>
      <c r="J29" s="14"/>
      <c r="K29" s="14"/>
      <c r="L29" s="10"/>
      <c r="M29" s="14"/>
      <c r="O29" s="66"/>
    </row>
    <row r="30" spans="1:64" ht="12" customHeight="1" hidden="1">
      <c r="A30" s="34" t="s">
        <v>18</v>
      </c>
      <c r="B30" s="14"/>
      <c r="C30" s="14"/>
      <c r="D30" s="14"/>
      <c r="E30" s="14"/>
      <c r="F30" s="14"/>
      <c r="G30" s="14"/>
      <c r="H30" s="14"/>
      <c r="I30" s="17" t="s">
        <v>20</v>
      </c>
      <c r="J30" s="108"/>
      <c r="K30" s="14"/>
      <c r="L30" s="14"/>
      <c r="M30" s="15"/>
      <c r="N30" s="8"/>
      <c r="O30" s="66"/>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4" ht="12" customHeight="1" hidden="1">
      <c r="A31" s="36" t="s">
        <v>19</v>
      </c>
      <c r="B31" s="14"/>
      <c r="C31" s="14"/>
      <c r="D31" s="14"/>
      <c r="E31" s="14"/>
      <c r="F31" s="14"/>
      <c r="G31" s="14"/>
      <c r="H31" s="14"/>
      <c r="I31" s="14"/>
      <c r="J31" s="14"/>
      <c r="K31" s="14"/>
      <c r="L31" s="16"/>
      <c r="M31" s="15"/>
      <c r="N31" s="8"/>
      <c r="O31" s="66"/>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4" ht="12.75" hidden="1">
      <c r="A32" s="34"/>
      <c r="B32" s="14"/>
      <c r="C32" s="14"/>
      <c r="D32" s="14"/>
      <c r="E32" s="14"/>
      <c r="F32" s="14"/>
      <c r="G32" s="14"/>
      <c r="H32" s="14"/>
      <c r="I32" s="14"/>
      <c r="J32" s="14"/>
      <c r="K32" s="14"/>
      <c r="L32" s="16"/>
      <c r="M32" s="15"/>
      <c r="N32" s="8"/>
      <c r="O32" s="66"/>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7.5" customHeight="1" hidden="1" thickBot="1">
      <c r="A33" s="14"/>
      <c r="B33" s="14"/>
      <c r="C33" s="14"/>
      <c r="D33" s="18"/>
      <c r="E33" s="18"/>
      <c r="F33" s="18"/>
      <c r="G33" s="18"/>
      <c r="H33" s="18"/>
      <c r="I33" s="18"/>
      <c r="J33" s="18"/>
      <c r="K33" s="18"/>
      <c r="L33" s="18"/>
      <c r="M33" s="14"/>
      <c r="N33" s="8"/>
      <c r="O33" s="66"/>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3.5" hidden="1" thickBot="1">
      <c r="A34" s="18" t="s">
        <v>7</v>
      </c>
      <c r="B34" s="19"/>
      <c r="C34" s="20">
        <f>FLOOR(dnyponaroku/90,1)</f>
        <v>0</v>
      </c>
      <c r="D34" s="9" t="s">
        <v>16</v>
      </c>
      <c r="E34" s="21" t="s">
        <v>17</v>
      </c>
      <c r="F34" s="21"/>
      <c r="G34" s="21"/>
      <c r="H34" s="21"/>
      <c r="I34" s="22" t="s">
        <v>12</v>
      </c>
      <c r="J34" s="22"/>
      <c r="K34" s="19"/>
      <c r="L34" s="38" t="str">
        <f>IF(I30="bez","ne",IF(I30="polovinu","polovinu","ano"))</f>
        <v>ne</v>
      </c>
      <c r="M34" s="14"/>
      <c r="N34" s="8"/>
      <c r="O34" s="66"/>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row>
    <row r="35" spans="1:64" ht="7.5" customHeight="1" hidden="1">
      <c r="A35" s="14"/>
      <c r="B35" s="14"/>
      <c r="C35" s="14"/>
      <c r="D35" s="14"/>
      <c r="E35" s="14"/>
      <c r="F35" s="14"/>
      <c r="G35" s="14"/>
      <c r="H35" s="14"/>
      <c r="I35" s="14"/>
      <c r="J35" s="14"/>
      <c r="K35" s="14"/>
      <c r="L35" s="14"/>
      <c r="M35" s="14"/>
      <c r="N35" s="8"/>
      <c r="O35" s="66"/>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row>
    <row r="36" spans="1:64" ht="13.5" customHeight="1" hidden="1">
      <c r="A36" s="14"/>
      <c r="B36" s="14"/>
      <c r="C36" s="14"/>
      <c r="D36" s="14"/>
      <c r="E36" s="14"/>
      <c r="F36" s="14"/>
      <c r="G36" s="14"/>
      <c r="H36" s="14"/>
      <c r="I36" s="14"/>
      <c r="J36" s="14"/>
      <c r="K36" s="14"/>
      <c r="L36" s="14"/>
      <c r="M36" s="14"/>
      <c r="N36" s="8"/>
      <c r="O36" s="66"/>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row>
    <row r="37" spans="1:64" ht="7.5" customHeight="1" hidden="1" thickBot="1">
      <c r="A37" s="14"/>
      <c r="B37" s="14"/>
      <c r="C37" s="14"/>
      <c r="D37" s="14"/>
      <c r="E37" s="14"/>
      <c r="F37" s="14"/>
      <c r="G37" s="14"/>
      <c r="H37" s="14"/>
      <c r="I37" s="14"/>
      <c r="J37" s="14"/>
      <c r="K37" s="14"/>
      <c r="L37" s="14"/>
      <c r="M37" s="14"/>
      <c r="N37" s="8"/>
      <c r="O37" s="66"/>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row>
    <row r="38" spans="1:64" ht="13.5" hidden="1" thickBot="1">
      <c r="A38" s="14" t="s">
        <v>9</v>
      </c>
      <c r="B38" s="14"/>
      <c r="C38" s="14"/>
      <c r="D38" s="14" t="s">
        <v>10</v>
      </c>
      <c r="E38" s="14"/>
      <c r="F38" s="23">
        <f>IF(L34&lt;&gt;"ne",0,IF(narokst&lt;K38,IF(datprizn&lt;K38,C34,FLOOR(DAYS360(narokst,K38)/90,1)),0))</f>
        <v>0</v>
      </c>
      <c r="G38" s="14"/>
      <c r="H38" s="14"/>
      <c r="I38" s="14"/>
      <c r="J38" s="14"/>
      <c r="K38" s="24">
        <v>37073</v>
      </c>
      <c r="L38" s="25">
        <f>IF(datprizn&gt;narokst,ROUND(doba1,0)*0.01+ROUND(doba2,0)*0.015+IF(YEAR(narokst)&lt;2010,0,ROUND(doba3,0)*0.015+ROUND(doba4,0)*0.004),0)</f>
        <v>0</v>
      </c>
      <c r="M38" s="14"/>
      <c r="N38" s="8"/>
      <c r="O38" s="66"/>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row>
    <row r="39" spans="1:64" ht="7.5" customHeight="1" hidden="1" thickBot="1">
      <c r="A39" s="14"/>
      <c r="B39" s="14"/>
      <c r="C39" s="14"/>
      <c r="D39" s="14"/>
      <c r="E39" s="14"/>
      <c r="F39" s="14"/>
      <c r="G39" s="14"/>
      <c r="H39" s="14"/>
      <c r="I39" s="14"/>
      <c r="J39" s="14"/>
      <c r="K39" s="26"/>
      <c r="L39" s="14"/>
      <c r="M39" s="14"/>
      <c r="N39" s="8"/>
      <c r="O39" s="66"/>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row>
    <row r="40" spans="1:64" ht="13.5" customHeight="1" hidden="1" thickBot="1">
      <c r="A40" s="14"/>
      <c r="B40" s="14"/>
      <c r="C40" s="14"/>
      <c r="D40" s="14" t="s">
        <v>11</v>
      </c>
      <c r="E40" s="14"/>
      <c r="F40" s="23">
        <f>IF(L34&lt;&gt;"ne",0,IF(narokst&lt;K38,IF(datprizn&lt;K40,0,C34-doba1),IF(narokst&gt;K40,C34,0)))</f>
        <v>0</v>
      </c>
      <c r="G40" s="14"/>
      <c r="H40" s="14"/>
      <c r="I40" s="14"/>
      <c r="J40" s="14"/>
      <c r="K40" s="24">
        <v>37072</v>
      </c>
      <c r="L40" s="14"/>
      <c r="M40" s="14"/>
      <c r="N40" s="8"/>
      <c r="O40" s="66"/>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row>
    <row r="41" spans="1:64" ht="7.5" customHeight="1" hidden="1" thickBot="1">
      <c r="A41" s="14"/>
      <c r="B41" s="14"/>
      <c r="C41" s="14"/>
      <c r="D41" s="14"/>
      <c r="E41" s="14"/>
      <c r="F41" s="14"/>
      <c r="G41" s="14"/>
      <c r="H41" s="14"/>
      <c r="I41" s="14"/>
      <c r="J41" s="14"/>
      <c r="K41" s="14"/>
      <c r="L41" s="14"/>
      <c r="M41" s="14"/>
      <c r="N41" s="8"/>
      <c r="O41" s="66"/>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row>
    <row r="42" spans="1:64" ht="13.5" customHeight="1" hidden="1" thickBot="1">
      <c r="A42" s="14" t="s">
        <v>14</v>
      </c>
      <c r="B42" s="14"/>
      <c r="C42" s="14"/>
      <c r="D42" s="14"/>
      <c r="E42" s="14"/>
      <c r="F42" s="23">
        <f>IF(AND(narokst&lt;datprizn,L34="polovinu"),FLOOR(DAYS360(narokst,datprizn)/180,1),0)</f>
        <v>0</v>
      </c>
      <c r="G42" s="14"/>
      <c r="H42" s="14"/>
      <c r="I42" s="14"/>
      <c r="J42" s="14"/>
      <c r="K42" s="14"/>
      <c r="L42" s="14"/>
      <c r="M42" s="14"/>
      <c r="N42" s="8"/>
      <c r="O42" s="66"/>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row>
    <row r="43" spans="1:64" ht="7.5" customHeight="1" hidden="1" thickBot="1">
      <c r="A43" s="14"/>
      <c r="B43" s="14"/>
      <c r="C43" s="14"/>
      <c r="D43" s="14"/>
      <c r="E43" s="14"/>
      <c r="F43" s="14"/>
      <c r="G43" s="14"/>
      <c r="H43" s="14"/>
      <c r="I43" s="14"/>
      <c r="J43" s="14"/>
      <c r="K43" s="14"/>
      <c r="L43" s="14"/>
      <c r="M43" s="14"/>
      <c r="N43" s="8"/>
      <c r="O43" s="66"/>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row>
    <row r="44" spans="1:64" ht="13.5" hidden="1" thickBot="1">
      <c r="A44" s="14" t="s">
        <v>15</v>
      </c>
      <c r="B44" s="14"/>
      <c r="C44" s="14"/>
      <c r="D44" s="14"/>
      <c r="E44" s="14"/>
      <c r="F44" s="23">
        <f>IF(AND(narokst&lt;datprizn,L34="ano"),FLOOR(DAYS360(narokst,datprizn)/360,1),0)</f>
        <v>0</v>
      </c>
      <c r="G44" s="14"/>
      <c r="H44" s="14"/>
      <c r="I44" s="14"/>
      <c r="J44" s="14"/>
      <c r="K44" s="14"/>
      <c r="L44" s="14"/>
      <c r="M44" s="14"/>
      <c r="N44" s="8"/>
      <c r="O44" s="66"/>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row>
    <row r="45" spans="1:64" ht="7.5" customHeight="1" hidden="1" thickBot="1">
      <c r="A45" s="14"/>
      <c r="B45" s="14"/>
      <c r="C45" s="14"/>
      <c r="D45" s="14"/>
      <c r="E45" s="14"/>
      <c r="F45" s="14"/>
      <c r="G45" s="14"/>
      <c r="H45" s="14"/>
      <c r="I45" s="14"/>
      <c r="J45" s="14"/>
      <c r="K45" s="14"/>
      <c r="L45" s="14"/>
      <c r="M45" s="14"/>
      <c r="N45" s="8"/>
      <c r="O45" s="66"/>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row>
    <row r="46" spans="1:64" ht="13.5" hidden="1" thickBot="1">
      <c r="A46" s="14" t="s">
        <v>8</v>
      </c>
      <c r="B46" s="18"/>
      <c r="C46" s="27" t="e">
        <f>IF(narokst&lt;datprizn,0,CEILING(((datprizn-narokst)/90)*(-1),1))</f>
        <v>#VALUE!</v>
      </c>
      <c r="D46" s="9" t="s">
        <v>16</v>
      </c>
      <c r="E46" s="14"/>
      <c r="F46" s="14"/>
      <c r="G46" s="14"/>
      <c r="H46" s="14"/>
      <c r="I46" s="14"/>
      <c r="J46" s="14"/>
      <c r="K46" s="14"/>
      <c r="L46" s="28" t="e">
        <f>-predodch*0.015</f>
        <v>#VALUE!</v>
      </c>
      <c r="M46" s="14"/>
      <c r="N46" s="8"/>
      <c r="O46" s="66"/>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row>
    <row r="47" spans="1:64" ht="7.5" customHeight="1" hidden="1">
      <c r="A47" s="14"/>
      <c r="B47" s="18"/>
      <c r="C47" s="18"/>
      <c r="D47" s="14"/>
      <c r="E47" s="14"/>
      <c r="F47" s="14"/>
      <c r="G47" s="14"/>
      <c r="H47" s="14"/>
      <c r="I47" s="29"/>
      <c r="J47" s="29"/>
      <c r="K47" s="14"/>
      <c r="L47" s="14"/>
      <c r="M47" s="14"/>
      <c r="N47" s="8"/>
      <c r="O47" s="66"/>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row>
    <row r="48" spans="1:64" ht="12.75" hidden="1">
      <c r="A48" s="14" t="s">
        <v>21</v>
      </c>
      <c r="B48" s="14"/>
      <c r="C48" s="14"/>
      <c r="D48" s="14"/>
      <c r="E48" s="14"/>
      <c r="F48" s="14"/>
      <c r="G48" s="14"/>
      <c r="H48" s="14"/>
      <c r="I48" s="30" t="e">
        <f>SUM(procvym1,procvym2,procvym3)</f>
        <v>#VALUE!</v>
      </c>
      <c r="J48" s="109"/>
      <c r="K48" s="14"/>
      <c r="L48" s="14"/>
      <c r="M48" s="14"/>
      <c r="N48" s="8"/>
      <c r="O48" s="66"/>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row>
    <row r="49" spans="1:64" ht="7.5" customHeight="1" hidden="1">
      <c r="A49" s="14"/>
      <c r="B49" s="14"/>
      <c r="C49" s="14"/>
      <c r="D49" s="14"/>
      <c r="E49" s="14"/>
      <c r="F49" s="14"/>
      <c r="G49" s="14"/>
      <c r="H49" s="14"/>
      <c r="I49" s="14"/>
      <c r="J49" s="14"/>
      <c r="K49" s="14"/>
      <c r="L49" s="14"/>
      <c r="M49" s="14"/>
      <c r="N49" s="8"/>
      <c r="O49" s="66"/>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row>
    <row r="50" spans="1:64" ht="12.75" hidden="1">
      <c r="A50" s="14"/>
      <c r="B50" s="14"/>
      <c r="C50" s="14"/>
      <c r="D50" s="14"/>
      <c r="E50" s="14"/>
      <c r="F50" s="14"/>
      <c r="G50" s="14"/>
      <c r="H50" s="14"/>
      <c r="I50" s="14"/>
      <c r="J50" s="14"/>
      <c r="K50" s="14"/>
      <c r="L50" s="14"/>
      <c r="M50" s="14"/>
      <c r="N50" s="8"/>
      <c r="O50" s="66"/>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row>
    <row r="51" spans="1:64" ht="7.5" customHeight="1" hidden="1">
      <c r="A51" s="11"/>
      <c r="B51" s="14"/>
      <c r="C51" s="14"/>
      <c r="D51" s="14"/>
      <c r="E51" s="14"/>
      <c r="F51" s="14"/>
      <c r="G51" s="14"/>
      <c r="H51" s="14"/>
      <c r="I51" s="14"/>
      <c r="J51" s="14"/>
      <c r="K51" s="14"/>
      <c r="L51" s="14"/>
      <c r="M51" s="14"/>
      <c r="N51" s="8"/>
      <c r="O51" s="66"/>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row>
    <row r="52" spans="1:64" ht="12" customHeight="1" hidden="1">
      <c r="A52" s="286" t="s">
        <v>103</v>
      </c>
      <c r="B52" s="14"/>
      <c r="C52" s="14"/>
      <c r="D52" s="14"/>
      <c r="E52" s="14"/>
      <c r="F52" s="14"/>
      <c r="G52" s="14"/>
      <c r="H52" s="14"/>
      <c r="I52" s="14"/>
      <c r="J52" s="14"/>
      <c r="K52" s="14"/>
      <c r="L52" s="14"/>
      <c r="M52" s="14"/>
      <c r="N52" s="8"/>
      <c r="O52" s="66"/>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row>
    <row r="53" spans="1:64" ht="7.5" customHeight="1">
      <c r="A53" s="35"/>
      <c r="B53" s="14"/>
      <c r="C53" s="14"/>
      <c r="D53" s="14"/>
      <c r="E53" s="14"/>
      <c r="F53" s="14"/>
      <c r="G53" s="14"/>
      <c r="H53" s="14"/>
      <c r="I53" s="14"/>
      <c r="J53" s="14"/>
      <c r="K53" s="14"/>
      <c r="L53" s="14"/>
      <c r="M53" s="14"/>
      <c r="N53" s="8"/>
      <c r="O53" s="66"/>
      <c r="P53" s="7"/>
      <c r="Q53" s="7"/>
      <c r="R53" s="7"/>
      <c r="S53" s="7"/>
      <c r="T53" s="7"/>
      <c r="U53" s="7"/>
      <c r="V53" s="7"/>
      <c r="W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row>
    <row r="54" spans="1:64" ht="10.5" customHeight="1">
      <c r="A54" s="83" t="s">
        <v>69</v>
      </c>
      <c r="B54" s="14"/>
      <c r="C54" s="14"/>
      <c r="D54" s="14"/>
      <c r="E54" s="14"/>
      <c r="F54" s="14"/>
      <c r="G54" s="14"/>
      <c r="H54" s="14"/>
      <c r="I54" s="14"/>
      <c r="J54" s="14"/>
      <c r="K54" s="14"/>
      <c r="L54" s="14"/>
      <c r="M54" s="14"/>
      <c r="N54" s="8"/>
      <c r="O54" s="66"/>
      <c r="P54" s="7"/>
      <c r="Q54" s="7"/>
      <c r="R54" s="5"/>
      <c r="S54" s="5"/>
      <c r="T54" s="5"/>
      <c r="U54" s="5"/>
      <c r="V54" s="5"/>
      <c r="W54" s="5"/>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row>
    <row r="55" spans="1:64" ht="7.5" customHeight="1" thickBot="1">
      <c r="A55" s="37"/>
      <c r="B55" s="14"/>
      <c r="C55" s="14"/>
      <c r="D55" s="14"/>
      <c r="E55" s="14"/>
      <c r="F55" s="14"/>
      <c r="G55" s="14"/>
      <c r="H55" s="14"/>
      <c r="I55" s="14"/>
      <c r="J55" s="14"/>
      <c r="K55" s="14"/>
      <c r="L55" s="14"/>
      <c r="M55" s="14"/>
      <c r="N55" s="8"/>
      <c r="O55" s="66"/>
      <c r="P55" s="7"/>
      <c r="Q55" s="7"/>
      <c r="R55" s="5"/>
      <c r="S55" s="5"/>
      <c r="T55" s="5"/>
      <c r="U55" s="5"/>
      <c r="V55" s="5"/>
      <c r="W55" s="5"/>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row>
    <row r="56" spans="1:64" ht="10.5" customHeight="1" thickBot="1">
      <c r="A56" s="410" t="s">
        <v>22</v>
      </c>
      <c r="B56" s="412" t="s">
        <v>23</v>
      </c>
      <c r="C56" s="413"/>
      <c r="D56" s="412" t="s">
        <v>24</v>
      </c>
      <c r="E56" s="363"/>
      <c r="F56" s="364"/>
      <c r="G56" s="364"/>
      <c r="H56" s="364"/>
      <c r="I56" s="364"/>
      <c r="J56" s="364"/>
      <c r="K56" s="365"/>
      <c r="L56" s="365"/>
      <c r="M56" s="366"/>
      <c r="N56" s="8"/>
      <c r="O56" s="66"/>
      <c r="P56" s="7"/>
      <c r="Q56" s="7"/>
      <c r="R56" s="5"/>
      <c r="S56" s="5"/>
      <c r="T56" s="5"/>
      <c r="U56" s="5"/>
      <c r="V56" s="5"/>
      <c r="W56" s="5"/>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row>
    <row r="57" spans="1:64" ht="10.5" customHeight="1" thickBot="1">
      <c r="A57" s="411"/>
      <c r="B57" s="414"/>
      <c r="C57" s="415"/>
      <c r="D57" s="414"/>
      <c r="E57" s="367"/>
      <c r="F57" s="110" t="s">
        <v>73</v>
      </c>
      <c r="G57" s="111"/>
      <c r="H57" s="111"/>
      <c r="I57" s="111"/>
      <c r="J57" s="111"/>
      <c r="K57" s="111"/>
      <c r="L57" s="112" t="str">
        <f>IF(ISBLANK(datprizn)," ",datprizn)</f>
        <v> </v>
      </c>
      <c r="M57" s="368"/>
      <c r="N57" s="8"/>
      <c r="O57" s="66"/>
      <c r="P57" s="7"/>
      <c r="Q57" s="7"/>
      <c r="R57" s="5"/>
      <c r="S57" s="5"/>
      <c r="T57" s="5"/>
      <c r="U57" s="5"/>
      <c r="V57" s="5"/>
      <c r="W57" s="5"/>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row>
    <row r="58" spans="1:64" ht="9.75" customHeight="1">
      <c r="A58" s="169">
        <v>1986</v>
      </c>
      <c r="B58" s="395"/>
      <c r="C58" s="408"/>
      <c r="D58" s="362"/>
      <c r="E58" s="367"/>
      <c r="F58" s="117" t="s">
        <v>27</v>
      </c>
      <c r="G58" s="14"/>
      <c r="H58" s="14"/>
      <c r="I58" s="14"/>
      <c r="J58" s="14"/>
      <c r="K58" s="14"/>
      <c r="L58" s="116" t="str">
        <f>IF(ISBLANK(datprizn)," ",VLOOKUP(YEAR(datprizn),'Základní varianta - podrobnosti'!R40:W81,6))</f>
        <v> </v>
      </c>
      <c r="M58" s="368"/>
      <c r="N58" s="8"/>
      <c r="O58" s="66"/>
      <c r="P58" s="7"/>
      <c r="Q58" s="7"/>
      <c r="R58" s="5"/>
      <c r="S58" s="5"/>
      <c r="T58" s="5"/>
      <c r="U58" s="5"/>
      <c r="V58" s="5"/>
      <c r="W58" s="5"/>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row>
    <row r="59" spans="1:64" ht="9.75" customHeight="1" thickBot="1">
      <c r="A59" s="170">
        <v>1987</v>
      </c>
      <c r="B59" s="397"/>
      <c r="C59" s="402"/>
      <c r="D59" s="358"/>
      <c r="E59" s="359"/>
      <c r="F59" s="117" t="s">
        <v>28</v>
      </c>
      <c r="G59" s="14"/>
      <c r="H59" s="14"/>
      <c r="I59" s="14"/>
      <c r="J59" s="14"/>
      <c r="K59" s="14"/>
      <c r="L59" s="116" t="str">
        <f>IF(ISBLANK(datprizn)," ",MAX(770,CEILING(vypoctzakl*procvym1,1)+CEILING(vypoctzakl*procvym2,1)-FLOOR(-vypoctzakl*procvym3,1)))</f>
        <v> </v>
      </c>
      <c r="M59" s="368"/>
      <c r="N59" s="8"/>
      <c r="O59" s="66"/>
      <c r="P59" s="7"/>
      <c r="Q59" s="7"/>
      <c r="R59" s="7"/>
      <c r="S59" s="7"/>
      <c r="T59" s="7"/>
      <c r="U59" s="7"/>
      <c r="V59" s="7"/>
      <c r="W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row>
    <row r="60" spans="1:64" ht="9.75" customHeight="1" thickBot="1">
      <c r="A60" s="170">
        <v>1988</v>
      </c>
      <c r="B60" s="397"/>
      <c r="C60" s="402"/>
      <c r="D60" s="358"/>
      <c r="E60" s="369"/>
      <c r="F60" s="118" t="s">
        <v>29</v>
      </c>
      <c r="G60" s="140"/>
      <c r="H60" s="140"/>
      <c r="I60" s="119"/>
      <c r="J60" s="119"/>
      <c r="K60" s="119"/>
      <c r="L60" s="120" t="str">
        <f>IF(ISBLANK(datprizn)," ",L58+L59)</f>
        <v> </v>
      </c>
      <c r="M60" s="370"/>
      <c r="N60" s="8"/>
      <c r="O60" s="66"/>
      <c r="P60" s="7"/>
      <c r="Q60" s="7"/>
      <c r="R60" s="7"/>
      <c r="S60" s="7"/>
      <c r="T60" s="7"/>
      <c r="U60" s="7"/>
      <c r="V60" s="7"/>
      <c r="W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row>
    <row r="61" spans="1:64" ht="9.75" customHeight="1" thickBot="1">
      <c r="A61" s="170">
        <v>1989</v>
      </c>
      <c r="B61" s="397"/>
      <c r="C61" s="402"/>
      <c r="D61" s="358"/>
      <c r="E61" s="371"/>
      <c r="F61" s="372"/>
      <c r="G61" s="372"/>
      <c r="H61" s="372"/>
      <c r="I61" s="372"/>
      <c r="J61" s="372"/>
      <c r="K61" s="372"/>
      <c r="L61" s="372"/>
      <c r="M61" s="373"/>
      <c r="N61" s="8"/>
      <c r="O61" s="66"/>
      <c r="P61" s="7"/>
      <c r="Q61" s="7"/>
      <c r="R61" s="7"/>
      <c r="S61" s="7"/>
      <c r="T61" s="7"/>
      <c r="U61" s="7"/>
      <c r="V61" s="7"/>
      <c r="W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row>
    <row r="62" spans="1:64" ht="9.75" customHeight="1" thickBot="1">
      <c r="A62" s="171">
        <v>1990</v>
      </c>
      <c r="B62" s="393"/>
      <c r="C62" s="416"/>
      <c r="D62" s="357"/>
      <c r="E62" s="360"/>
      <c r="F62" s="361"/>
      <c r="G62" s="361"/>
      <c r="H62" s="361"/>
      <c r="I62" s="361"/>
      <c r="J62" s="361"/>
      <c r="K62" s="361"/>
      <c r="L62" s="361"/>
      <c r="M62" s="361"/>
      <c r="N62" s="8"/>
      <c r="O62" s="66"/>
      <c r="P62" s="7"/>
      <c r="Q62" s="7"/>
      <c r="R62" s="7"/>
      <c r="S62" s="7"/>
      <c r="T62" s="7"/>
      <c r="U62" s="7"/>
      <c r="V62" s="7"/>
      <c r="W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row>
    <row r="63" spans="1:64" ht="9.75" customHeight="1">
      <c r="A63" s="169">
        <v>1991</v>
      </c>
      <c r="B63" s="395"/>
      <c r="C63" s="409"/>
      <c r="D63" s="355"/>
      <c r="E63" s="354"/>
      <c r="F63" s="353"/>
      <c r="G63" s="353"/>
      <c r="H63" s="353"/>
      <c r="I63" s="353"/>
      <c r="J63" s="353"/>
      <c r="K63" s="353"/>
      <c r="L63" s="353"/>
      <c r="M63" s="353"/>
      <c r="N63" s="8"/>
      <c r="O63" s="66" t="b">
        <f ca="1">OR(ISBLANK(datprizn),datprizn&lt;TODAY())</f>
        <v>1</v>
      </c>
      <c r="P63" s="7"/>
      <c r="Q63" s="7"/>
      <c r="R63" s="7"/>
      <c r="S63" s="7"/>
      <c r="T63" s="7"/>
      <c r="U63" s="7"/>
      <c r="V63" s="7"/>
      <c r="W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row>
    <row r="64" spans="1:64" ht="9.75" customHeight="1">
      <c r="A64" s="170">
        <v>1992</v>
      </c>
      <c r="B64" s="397"/>
      <c r="C64" s="402"/>
      <c r="D64" s="356"/>
      <c r="E64" s="354"/>
      <c r="F64" s="353"/>
      <c r="G64" s="353"/>
      <c r="H64" s="353"/>
      <c r="I64" s="353"/>
      <c r="J64" s="353"/>
      <c r="K64" s="353"/>
      <c r="L64" s="353"/>
      <c r="M64" s="353"/>
      <c r="N64" s="8"/>
      <c r="O64" s="66"/>
      <c r="P64" s="7"/>
      <c r="Q64" s="7"/>
      <c r="R64" s="7"/>
      <c r="S64" s="7"/>
      <c r="T64" s="7"/>
      <c r="U64" s="7"/>
      <c r="V64" s="7"/>
      <c r="W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row>
    <row r="65" spans="1:64" ht="9.75" customHeight="1">
      <c r="A65" s="170">
        <v>1993</v>
      </c>
      <c r="B65" s="397"/>
      <c r="C65" s="402"/>
      <c r="D65" s="356"/>
      <c r="E65" s="354"/>
      <c r="F65" s="401" t="s">
        <v>111</v>
      </c>
      <c r="G65" s="401"/>
      <c r="H65" s="401"/>
      <c r="I65" s="401"/>
      <c r="J65" s="401"/>
      <c r="K65" s="401"/>
      <c r="L65" s="401"/>
      <c r="M65" s="353"/>
      <c r="N65" s="8"/>
      <c r="O65" s="66"/>
      <c r="P65" s="7"/>
      <c r="Q65" s="7"/>
      <c r="R65" s="7"/>
      <c r="S65" s="7"/>
      <c r="T65" s="7"/>
      <c r="U65" s="7"/>
      <c r="V65" s="7"/>
      <c r="W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row>
    <row r="66" spans="1:64" ht="9.75" customHeight="1">
      <c r="A66" s="170">
        <v>1994</v>
      </c>
      <c r="B66" s="397"/>
      <c r="C66" s="402"/>
      <c r="D66" s="356"/>
      <c r="E66" s="354"/>
      <c r="F66" s="401"/>
      <c r="G66" s="401"/>
      <c r="H66" s="401"/>
      <c r="I66" s="401"/>
      <c r="J66" s="401"/>
      <c r="K66" s="401"/>
      <c r="L66" s="401"/>
      <c r="M66" s="353"/>
      <c r="N66" s="8"/>
      <c r="O66" s="66"/>
      <c r="P66" s="7"/>
      <c r="Q66" s="7"/>
      <c r="R66" s="7"/>
      <c r="S66" s="7"/>
      <c r="T66" s="7"/>
      <c r="U66" s="7"/>
      <c r="V66" s="7"/>
      <c r="W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row>
    <row r="67" spans="1:64" ht="9.75" customHeight="1" thickBot="1">
      <c r="A67" s="171">
        <v>1995</v>
      </c>
      <c r="B67" s="393"/>
      <c r="C67" s="416"/>
      <c r="D67" s="356"/>
      <c r="E67" s="354"/>
      <c r="F67" s="401"/>
      <c r="G67" s="401"/>
      <c r="H67" s="401"/>
      <c r="I67" s="401"/>
      <c r="J67" s="401"/>
      <c r="K67" s="401"/>
      <c r="L67" s="401"/>
      <c r="M67" s="353"/>
      <c r="N67" s="8"/>
      <c r="O67" s="66"/>
      <c r="P67" s="7"/>
      <c r="Q67" s="7"/>
      <c r="R67" s="7"/>
      <c r="S67" s="7"/>
      <c r="T67" s="7"/>
      <c r="U67" s="7"/>
      <c r="V67" s="7"/>
      <c r="W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row>
    <row r="68" spans="1:64" ht="9.75" customHeight="1">
      <c r="A68" s="169">
        <v>1996</v>
      </c>
      <c r="B68" s="395"/>
      <c r="C68" s="396"/>
      <c r="D68" s="374"/>
      <c r="E68" s="6"/>
      <c r="F68" s="401"/>
      <c r="G68" s="401"/>
      <c r="H68" s="401"/>
      <c r="I68" s="401"/>
      <c r="J68" s="401"/>
      <c r="K68" s="401"/>
      <c r="L68" s="401"/>
      <c r="M68" s="6"/>
      <c r="N68" s="8"/>
      <c r="O68" s="66"/>
      <c r="P68" s="7"/>
      <c r="Q68" s="7"/>
      <c r="R68" s="7"/>
      <c r="S68" s="7"/>
      <c r="T68" s="7"/>
      <c r="U68" s="7"/>
      <c r="V68" s="7"/>
      <c r="W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1:64" ht="9.75" customHeight="1">
      <c r="A69" s="170">
        <v>1997</v>
      </c>
      <c r="B69" s="397"/>
      <c r="C69" s="398"/>
      <c r="D69" s="346"/>
      <c r="E69" s="6"/>
      <c r="F69" s="401"/>
      <c r="G69" s="401"/>
      <c r="H69" s="401"/>
      <c r="I69" s="401"/>
      <c r="J69" s="401"/>
      <c r="K69" s="401"/>
      <c r="L69" s="401"/>
      <c r="M69" s="84"/>
      <c r="N69" s="67"/>
      <c r="O69" s="67"/>
      <c r="P69" s="59"/>
      <c r="Q69" s="59"/>
      <c r="R69" s="59"/>
      <c r="S69" s="59"/>
      <c r="T69" s="59"/>
      <c r="U69" s="59"/>
      <c r="V69" s="59"/>
      <c r="W69" s="59"/>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row>
    <row r="70" spans="1:64" ht="9.75" customHeight="1">
      <c r="A70" s="170">
        <v>1998</v>
      </c>
      <c r="B70" s="397"/>
      <c r="C70" s="398"/>
      <c r="D70" s="346"/>
      <c r="E70" s="6"/>
      <c r="F70" s="401"/>
      <c r="G70" s="401"/>
      <c r="H70" s="401"/>
      <c r="I70" s="401"/>
      <c r="J70" s="401"/>
      <c r="K70" s="401"/>
      <c r="L70" s="401"/>
      <c r="M70" s="84"/>
      <c r="N70" s="67"/>
      <c r="O70" s="67"/>
      <c r="P70" s="59"/>
      <c r="Q70" s="59"/>
      <c r="R70" s="59"/>
      <c r="S70" s="59"/>
      <c r="T70" s="59"/>
      <c r="U70" s="59"/>
      <c r="V70" s="59"/>
      <c r="W70" s="59"/>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row>
    <row r="71" spans="1:64" ht="9.75" customHeight="1">
      <c r="A71" s="170">
        <v>1999</v>
      </c>
      <c r="B71" s="397"/>
      <c r="C71" s="398"/>
      <c r="D71" s="346"/>
      <c r="E71" s="6"/>
      <c r="F71" s="401"/>
      <c r="G71" s="401"/>
      <c r="H71" s="401"/>
      <c r="I71" s="401"/>
      <c r="J71" s="401"/>
      <c r="K71" s="401"/>
      <c r="L71" s="401"/>
      <c r="M71" s="6"/>
      <c r="N71" s="41"/>
      <c r="O71" s="67"/>
      <c r="P71" s="59"/>
      <c r="Q71" s="59"/>
      <c r="R71" s="59"/>
      <c r="S71" s="59"/>
      <c r="T71" s="59"/>
      <c r="U71" s="59"/>
      <c r="V71" s="59"/>
      <c r="W71" s="59"/>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row>
    <row r="72" spans="1:64" ht="9.75" customHeight="1" thickBot="1">
      <c r="A72" s="171">
        <v>2000</v>
      </c>
      <c r="B72" s="393"/>
      <c r="C72" s="394"/>
      <c r="D72" s="375"/>
      <c r="E72" s="85"/>
      <c r="F72" s="420" t="s">
        <v>112</v>
      </c>
      <c r="G72" s="420"/>
      <c r="H72" s="420"/>
      <c r="I72" s="420"/>
      <c r="J72" s="420"/>
      <c r="K72" s="420"/>
      <c r="L72" s="420"/>
      <c r="M72" s="85"/>
      <c r="N72" s="41"/>
      <c r="O72" s="67"/>
      <c r="P72" s="59"/>
      <c r="Q72" s="59"/>
      <c r="R72" s="59"/>
      <c r="S72" s="59"/>
      <c r="T72" s="59"/>
      <c r="U72" s="59"/>
      <c r="V72" s="59"/>
      <c r="W72" s="59"/>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row>
    <row r="73" spans="1:64" ht="9.75" customHeight="1">
      <c r="A73" s="169">
        <v>2001</v>
      </c>
      <c r="B73" s="395"/>
      <c r="C73" s="396"/>
      <c r="D73" s="374"/>
      <c r="E73" s="85"/>
      <c r="F73" s="420"/>
      <c r="G73" s="420"/>
      <c r="H73" s="420"/>
      <c r="I73" s="420"/>
      <c r="J73" s="420"/>
      <c r="K73" s="420"/>
      <c r="L73" s="420"/>
      <c r="M73" s="85"/>
      <c r="N73" s="41"/>
      <c r="O73" s="67"/>
      <c r="P73" s="59"/>
      <c r="Q73" s="59"/>
      <c r="R73" s="59"/>
      <c r="S73" s="59"/>
      <c r="T73" s="59"/>
      <c r="U73" s="59"/>
      <c r="V73" s="59"/>
      <c r="W73" s="59"/>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row>
    <row r="74" spans="1:64" ht="9.75" customHeight="1">
      <c r="A74" s="170">
        <v>2002</v>
      </c>
      <c r="B74" s="397"/>
      <c r="C74" s="398"/>
      <c r="D74" s="346"/>
      <c r="E74" s="85"/>
      <c r="F74" s="420"/>
      <c r="G74" s="420"/>
      <c r="H74" s="420"/>
      <c r="I74" s="420"/>
      <c r="J74" s="420"/>
      <c r="K74" s="420"/>
      <c r="L74" s="420"/>
      <c r="M74" s="85"/>
      <c r="N74" s="41"/>
      <c r="O74" s="67"/>
      <c r="P74" s="59"/>
      <c r="Q74" s="59"/>
      <c r="R74" s="59"/>
      <c r="S74" s="59"/>
      <c r="T74" s="59"/>
      <c r="U74" s="59"/>
      <c r="V74" s="59"/>
      <c r="W74" s="59"/>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row>
    <row r="75" spans="1:64" ht="9.75" customHeight="1">
      <c r="A75" s="170">
        <v>2003</v>
      </c>
      <c r="B75" s="397"/>
      <c r="C75" s="398"/>
      <c r="D75" s="346"/>
      <c r="E75" s="85"/>
      <c r="F75" s="420"/>
      <c r="G75" s="420"/>
      <c r="H75" s="420"/>
      <c r="I75" s="420"/>
      <c r="J75" s="420"/>
      <c r="K75" s="420"/>
      <c r="L75" s="420"/>
      <c r="M75" s="6"/>
      <c r="N75" s="41"/>
      <c r="O75" s="67"/>
      <c r="P75" s="59"/>
      <c r="Q75" s="59"/>
      <c r="R75" s="59"/>
      <c r="S75" s="59"/>
      <c r="T75" s="59"/>
      <c r="U75" s="59"/>
      <c r="V75" s="59"/>
      <c r="W75" s="59"/>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row>
    <row r="76" spans="1:64" ht="9.75" customHeight="1">
      <c r="A76" s="170">
        <v>2004</v>
      </c>
      <c r="B76" s="397"/>
      <c r="C76" s="398"/>
      <c r="D76" s="346"/>
      <c r="E76" s="85"/>
      <c r="F76" s="420"/>
      <c r="G76" s="420"/>
      <c r="H76" s="420"/>
      <c r="I76" s="420"/>
      <c r="J76" s="420"/>
      <c r="K76" s="420"/>
      <c r="L76" s="420"/>
      <c r="M76" s="6"/>
      <c r="N76" s="41"/>
      <c r="O76" s="67"/>
      <c r="P76" s="59"/>
      <c r="Q76" s="59"/>
      <c r="R76" s="59"/>
      <c r="S76" s="59"/>
      <c r="T76" s="59"/>
      <c r="U76" s="59"/>
      <c r="V76" s="59"/>
      <c r="W76" s="59"/>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row>
    <row r="77" spans="1:64" ht="9.75" customHeight="1" thickBot="1">
      <c r="A77" s="171">
        <v>2005</v>
      </c>
      <c r="B77" s="393"/>
      <c r="C77" s="394"/>
      <c r="D77" s="375"/>
      <c r="E77" s="6"/>
      <c r="F77" s="420"/>
      <c r="G77" s="420"/>
      <c r="H77" s="420"/>
      <c r="I77" s="420"/>
      <c r="J77" s="420"/>
      <c r="K77" s="420"/>
      <c r="L77" s="420"/>
      <c r="M77" s="6"/>
      <c r="N77" s="41"/>
      <c r="O77" s="67"/>
      <c r="P77" s="59"/>
      <c r="Q77" s="59"/>
      <c r="R77" s="59"/>
      <c r="S77" s="59"/>
      <c r="T77" s="59"/>
      <c r="U77" s="59"/>
      <c r="V77" s="59"/>
      <c r="W77" s="59"/>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row>
    <row r="78" spans="1:64" ht="9.75" customHeight="1">
      <c r="A78" s="169">
        <v>2006</v>
      </c>
      <c r="B78" s="395"/>
      <c r="C78" s="396"/>
      <c r="D78" s="374"/>
      <c r="E78" s="6"/>
      <c r="F78" s="399" t="s">
        <v>115</v>
      </c>
      <c r="G78" s="399"/>
      <c r="H78" s="399"/>
      <c r="I78" s="399"/>
      <c r="J78" s="399"/>
      <c r="K78" s="399"/>
      <c r="L78" s="399"/>
      <c r="M78" s="6"/>
      <c r="N78" s="41"/>
      <c r="O78" s="67"/>
      <c r="P78" s="59"/>
      <c r="Q78" s="59"/>
      <c r="R78" s="59"/>
      <c r="S78" s="59"/>
      <c r="T78" s="59"/>
      <c r="U78" s="59"/>
      <c r="V78" s="59"/>
      <c r="W78" s="59"/>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row>
    <row r="79" spans="1:64" ht="9.75" customHeight="1">
      <c r="A79" s="170">
        <v>2007</v>
      </c>
      <c r="B79" s="397"/>
      <c r="C79" s="398"/>
      <c r="D79" s="346"/>
      <c r="E79" s="6"/>
      <c r="F79" s="399"/>
      <c r="G79" s="399"/>
      <c r="H79" s="399"/>
      <c r="I79" s="399"/>
      <c r="J79" s="399"/>
      <c r="K79" s="399"/>
      <c r="L79" s="399"/>
      <c r="M79" s="6"/>
      <c r="N79" s="41"/>
      <c r="O79" s="67"/>
      <c r="P79" s="59"/>
      <c r="Q79" s="59"/>
      <c r="R79" s="59"/>
      <c r="S79" s="59"/>
      <c r="T79" s="59"/>
      <c r="U79" s="59"/>
      <c r="V79" s="59"/>
      <c r="W79" s="59"/>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row>
    <row r="80" spans="1:64" ht="9.75" customHeight="1">
      <c r="A80" s="172">
        <v>2008</v>
      </c>
      <c r="B80" s="397"/>
      <c r="C80" s="398"/>
      <c r="D80" s="333"/>
      <c r="E80" s="6"/>
      <c r="F80" s="399"/>
      <c r="G80" s="399"/>
      <c r="H80" s="399"/>
      <c r="I80" s="399"/>
      <c r="J80" s="399"/>
      <c r="K80" s="399"/>
      <c r="L80" s="399"/>
      <c r="M80" s="6"/>
      <c r="N80" s="41"/>
      <c r="O80" s="67"/>
      <c r="P80" s="59"/>
      <c r="Q80" s="59"/>
      <c r="R80" s="59"/>
      <c r="S80" s="59"/>
      <c r="T80" s="59"/>
      <c r="U80" s="59"/>
      <c r="V80" s="59"/>
      <c r="W80" s="59"/>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row>
    <row r="81" spans="1:64" ht="9.75" customHeight="1">
      <c r="A81" s="172">
        <v>2009</v>
      </c>
      <c r="B81" s="397"/>
      <c r="C81" s="398"/>
      <c r="D81" s="333"/>
      <c r="E81" s="6"/>
      <c r="F81" s="399"/>
      <c r="G81" s="399"/>
      <c r="H81" s="399"/>
      <c r="I81" s="399"/>
      <c r="J81" s="399"/>
      <c r="K81" s="399"/>
      <c r="L81" s="399"/>
      <c r="M81" s="6"/>
      <c r="N81" s="41"/>
      <c r="O81" s="67"/>
      <c r="P81" s="59"/>
      <c r="Q81" s="59"/>
      <c r="R81" s="59"/>
      <c r="S81" s="59"/>
      <c r="T81" s="59"/>
      <c r="U81" s="59"/>
      <c r="V81" s="59"/>
      <c r="W81" s="59"/>
      <c r="X81" s="59"/>
      <c r="Y81" s="59"/>
      <c r="Z81" s="59"/>
      <c r="AA81" s="59"/>
      <c r="AB81" s="59"/>
      <c r="AC81" s="59"/>
      <c r="AD81" s="59"/>
      <c r="AE81" s="59"/>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row>
    <row r="82" spans="1:64" ht="9.75" customHeight="1" thickBot="1">
      <c r="A82" s="172">
        <v>2010</v>
      </c>
      <c r="B82" s="393"/>
      <c r="C82" s="394"/>
      <c r="D82" s="347"/>
      <c r="E82" s="6"/>
      <c r="F82" s="399"/>
      <c r="G82" s="399"/>
      <c r="H82" s="399"/>
      <c r="I82" s="399"/>
      <c r="J82" s="399"/>
      <c r="K82" s="399"/>
      <c r="L82" s="399"/>
      <c r="M82" s="6"/>
      <c r="N82" s="41"/>
      <c r="O82" s="67"/>
      <c r="P82" s="59"/>
      <c r="Q82" s="59"/>
      <c r="R82" s="59"/>
      <c r="S82" s="59"/>
      <c r="T82" s="59"/>
      <c r="U82" s="59"/>
      <c r="V82" s="59"/>
      <c r="W82" s="59"/>
      <c r="X82" s="59"/>
      <c r="Y82" s="59"/>
      <c r="Z82" s="59"/>
      <c r="AA82" s="59"/>
      <c r="AB82" s="59"/>
      <c r="AC82" s="59"/>
      <c r="AD82" s="59"/>
      <c r="AE82" s="59"/>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row>
    <row r="83" spans="1:64" ht="9.75" customHeight="1">
      <c r="A83" s="173">
        <v>2011</v>
      </c>
      <c r="B83" s="395"/>
      <c r="C83" s="396"/>
      <c r="D83" s="332"/>
      <c r="E83" s="350"/>
      <c r="F83" s="399"/>
      <c r="G83" s="399"/>
      <c r="H83" s="399"/>
      <c r="I83" s="399"/>
      <c r="J83" s="399"/>
      <c r="K83" s="399"/>
      <c r="L83" s="399"/>
      <c r="M83" s="6"/>
      <c r="N83" s="41"/>
      <c r="O83" s="67"/>
      <c r="P83" s="59"/>
      <c r="Q83" s="59"/>
      <c r="R83" s="59"/>
      <c r="S83" s="59"/>
      <c r="T83" s="59"/>
      <c r="U83" s="59"/>
      <c r="V83" s="59"/>
      <c r="W83" s="59"/>
      <c r="X83" s="59"/>
      <c r="Y83" s="59"/>
      <c r="Z83" s="59"/>
      <c r="AA83" s="59"/>
      <c r="AB83" s="59"/>
      <c r="AC83" s="59"/>
      <c r="AD83" s="59"/>
      <c r="AE83" s="59"/>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row>
    <row r="84" spans="1:64" ht="9.75" customHeight="1">
      <c r="A84" s="172">
        <v>2012</v>
      </c>
      <c r="B84" s="397"/>
      <c r="C84" s="398"/>
      <c r="D84" s="333"/>
      <c r="E84" s="350"/>
      <c r="F84" s="399"/>
      <c r="G84" s="399"/>
      <c r="H84" s="399"/>
      <c r="I84" s="399"/>
      <c r="J84" s="399"/>
      <c r="K84" s="399"/>
      <c r="L84" s="399"/>
      <c r="M84" s="6"/>
      <c r="N84" s="41"/>
      <c r="O84" s="67"/>
      <c r="P84" s="59"/>
      <c r="Q84" s="59"/>
      <c r="R84" s="59"/>
      <c r="S84" s="59"/>
      <c r="T84" s="59"/>
      <c r="U84" s="59"/>
      <c r="V84" s="59"/>
      <c r="W84" s="59"/>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row>
    <row r="85" spans="1:64" ht="9.75" customHeight="1">
      <c r="A85" s="170">
        <v>2013</v>
      </c>
      <c r="B85" s="397"/>
      <c r="C85" s="398"/>
      <c r="D85" s="346"/>
      <c r="E85" s="350"/>
      <c r="F85" s="399"/>
      <c r="G85" s="399"/>
      <c r="H85" s="399"/>
      <c r="I85" s="399"/>
      <c r="J85" s="399"/>
      <c r="K85" s="399"/>
      <c r="L85" s="399"/>
      <c r="M85" s="6"/>
      <c r="N85" s="41"/>
      <c r="O85" s="59"/>
      <c r="P85" s="59"/>
      <c r="Q85" s="59"/>
      <c r="R85" s="59"/>
      <c r="S85" s="59"/>
      <c r="T85" s="59"/>
      <c r="U85" s="59"/>
      <c r="V85" s="59"/>
      <c r="W85" s="59"/>
      <c r="X85" s="5"/>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row>
    <row r="86" spans="1:51" ht="9.75" customHeight="1">
      <c r="A86" s="170">
        <v>2014</v>
      </c>
      <c r="B86" s="397"/>
      <c r="C86" s="398"/>
      <c r="D86" s="346"/>
      <c r="E86" s="350"/>
      <c r="F86" s="350"/>
      <c r="G86" s="350"/>
      <c r="H86" s="350"/>
      <c r="I86" s="400" t="s">
        <v>113</v>
      </c>
      <c r="J86" s="400"/>
      <c r="K86" s="400"/>
      <c r="L86" s="400"/>
      <c r="M86" s="400"/>
      <c r="N86" s="41"/>
      <c r="O86" s="59"/>
      <c r="P86" s="59"/>
      <c r="Q86" s="59"/>
      <c r="R86" s="59"/>
      <c r="S86" s="59"/>
      <c r="T86" s="59"/>
      <c r="U86" s="59"/>
      <c r="V86" s="59"/>
      <c r="W86" s="59"/>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row>
    <row r="87" spans="1:51" ht="9.75" customHeight="1" thickBot="1">
      <c r="A87" s="282">
        <v>2015</v>
      </c>
      <c r="B87" s="393"/>
      <c r="C87" s="394"/>
      <c r="D87" s="351"/>
      <c r="E87" s="350"/>
      <c r="F87" s="350"/>
      <c r="G87" s="350"/>
      <c r="H87" s="350"/>
      <c r="I87" s="400"/>
      <c r="J87" s="400"/>
      <c r="K87" s="400"/>
      <c r="L87" s="400"/>
      <c r="M87" s="400"/>
      <c r="N87" s="41"/>
      <c r="O87" s="59"/>
      <c r="P87" s="59"/>
      <c r="Q87" s="59"/>
      <c r="R87" s="59"/>
      <c r="S87" s="59"/>
      <c r="T87" s="59"/>
      <c r="U87" s="59"/>
      <c r="V87" s="59"/>
      <c r="W87" s="59"/>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row>
    <row r="88" spans="1:51" ht="9.75" customHeight="1">
      <c r="A88" s="174">
        <v>2016</v>
      </c>
      <c r="B88" s="395"/>
      <c r="C88" s="396"/>
      <c r="D88" s="332"/>
      <c r="E88" s="437" t="s">
        <v>104</v>
      </c>
      <c r="F88" s="438"/>
      <c r="G88" s="437" t="s">
        <v>105</v>
      </c>
      <c r="H88" s="438"/>
      <c r="I88" s="400"/>
      <c r="J88" s="400"/>
      <c r="K88" s="400"/>
      <c r="L88" s="400"/>
      <c r="M88" s="400"/>
      <c r="N88" s="41"/>
      <c r="O88" s="59"/>
      <c r="P88" s="59"/>
      <c r="Q88" s="59"/>
      <c r="R88" s="59"/>
      <c r="S88" s="59"/>
      <c r="T88" s="59"/>
      <c r="U88" s="59"/>
      <c r="V88" s="59"/>
      <c r="W88" s="59"/>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row>
    <row r="89" spans="1:51" ht="9.75" customHeight="1">
      <c r="A89" s="175">
        <v>2017</v>
      </c>
      <c r="B89" s="397"/>
      <c r="C89" s="398"/>
      <c r="D89" s="333"/>
      <c r="E89" s="439"/>
      <c r="F89" s="440"/>
      <c r="G89" s="439"/>
      <c r="H89" s="440"/>
      <c r="I89" s="400"/>
      <c r="J89" s="400"/>
      <c r="K89" s="400"/>
      <c r="L89" s="400"/>
      <c r="M89" s="400"/>
      <c r="N89" s="41"/>
      <c r="O89" s="59"/>
      <c r="P89" s="59"/>
      <c r="Q89" s="59"/>
      <c r="R89" s="59"/>
      <c r="S89" s="59"/>
      <c r="T89" s="59"/>
      <c r="U89" s="59"/>
      <c r="V89" s="59"/>
      <c r="W89" s="311"/>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row>
    <row r="90" spans="1:51" ht="9.75" customHeight="1">
      <c r="A90" s="175">
        <v>2018</v>
      </c>
      <c r="B90" s="397"/>
      <c r="C90" s="398"/>
      <c r="D90" s="333"/>
      <c r="E90" s="439"/>
      <c r="F90" s="440"/>
      <c r="G90" s="439"/>
      <c r="H90" s="440"/>
      <c r="I90" s="400"/>
      <c r="J90" s="400"/>
      <c r="K90" s="400"/>
      <c r="L90" s="400"/>
      <c r="M90" s="400"/>
      <c r="N90" s="41"/>
      <c r="O90" s="59"/>
      <c r="P90" s="59"/>
      <c r="Q90" s="59"/>
      <c r="R90" s="59"/>
      <c r="S90" s="59"/>
      <c r="T90" s="59"/>
      <c r="U90" s="59"/>
      <c r="V90" s="59"/>
      <c r="W90" s="59"/>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row>
    <row r="91" spans="1:51" ht="9.75" customHeight="1">
      <c r="A91" s="175">
        <v>2019</v>
      </c>
      <c r="B91" s="397"/>
      <c r="C91" s="398"/>
      <c r="D91" s="333"/>
      <c r="E91" s="439"/>
      <c r="F91" s="440"/>
      <c r="G91" s="439"/>
      <c r="H91" s="440"/>
      <c r="I91" s="400"/>
      <c r="J91" s="400"/>
      <c r="K91" s="400"/>
      <c r="L91" s="400"/>
      <c r="M91" s="400"/>
      <c r="N91" s="41"/>
      <c r="O91" s="59"/>
      <c r="P91" s="59"/>
      <c r="Q91" s="59"/>
      <c r="R91" s="59"/>
      <c r="S91" s="59"/>
      <c r="T91" s="59"/>
      <c r="U91" s="59"/>
      <c r="V91" s="59"/>
      <c r="W91" s="59"/>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row>
    <row r="92" spans="1:51" ht="9.75" customHeight="1" thickBot="1">
      <c r="A92" s="176">
        <v>2020</v>
      </c>
      <c r="B92" s="393"/>
      <c r="C92" s="394"/>
      <c r="D92" s="347"/>
      <c r="E92" s="439"/>
      <c r="F92" s="440"/>
      <c r="G92" s="439"/>
      <c r="H92" s="440"/>
      <c r="I92" s="400"/>
      <c r="J92" s="400"/>
      <c r="K92" s="400"/>
      <c r="L92" s="400"/>
      <c r="M92" s="400"/>
      <c r="N92" s="41"/>
      <c r="O92" s="59"/>
      <c r="P92" s="59"/>
      <c r="Q92" s="59"/>
      <c r="R92" s="59"/>
      <c r="S92" s="59"/>
      <c r="T92" s="59"/>
      <c r="U92" s="59"/>
      <c r="V92" s="59"/>
      <c r="W92" s="59"/>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row>
    <row r="93" spans="1:51" ht="9.75" customHeight="1">
      <c r="A93" s="174">
        <v>2021</v>
      </c>
      <c r="B93" s="395"/>
      <c r="C93" s="396"/>
      <c r="D93" s="333"/>
      <c r="E93" s="439"/>
      <c r="F93" s="440"/>
      <c r="G93" s="439"/>
      <c r="H93" s="440"/>
      <c r="I93" s="407" t="s">
        <v>110</v>
      </c>
      <c r="J93" s="407"/>
      <c r="K93" s="407"/>
      <c r="L93" s="407"/>
      <c r="M93" s="407"/>
      <c r="N93" s="41"/>
      <c r="O93" s="59"/>
      <c r="P93" s="59"/>
      <c r="Q93" s="59"/>
      <c r="R93" s="59"/>
      <c r="S93" s="59"/>
      <c r="T93" s="59"/>
      <c r="U93" s="59"/>
      <c r="V93" s="59"/>
      <c r="W93" s="59"/>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row>
    <row r="94" spans="1:51" ht="9.75" customHeight="1" thickBot="1">
      <c r="A94" s="175">
        <v>2022</v>
      </c>
      <c r="B94" s="397"/>
      <c r="C94" s="398"/>
      <c r="D94" s="333"/>
      <c r="E94" s="441"/>
      <c r="F94" s="442"/>
      <c r="G94" s="441"/>
      <c r="H94" s="442"/>
      <c r="I94" s="84"/>
      <c r="J94" s="84"/>
      <c r="K94" s="84"/>
      <c r="L94" s="84"/>
      <c r="M94" s="84"/>
      <c r="N94" s="59"/>
      <c r="O94" s="59"/>
      <c r="P94" s="59"/>
      <c r="Q94" s="59"/>
      <c r="R94" s="59"/>
      <c r="S94" s="59"/>
      <c r="T94" s="59"/>
      <c r="U94" s="59"/>
      <c r="V94" s="59"/>
      <c r="W94" s="59"/>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row>
    <row r="95" spans="1:51" ht="9.75" customHeight="1">
      <c r="A95" s="175">
        <v>2023</v>
      </c>
      <c r="B95" s="397"/>
      <c r="C95" s="398"/>
      <c r="D95" s="333"/>
      <c r="E95" s="405">
        <v>41500</v>
      </c>
      <c r="F95" s="406"/>
      <c r="G95" s="425"/>
      <c r="H95" s="426"/>
      <c r="I95" s="427" t="s">
        <v>114</v>
      </c>
      <c r="J95" s="427"/>
      <c r="K95" s="427"/>
      <c r="L95" s="427"/>
      <c r="M95" s="427"/>
      <c r="N95" s="59"/>
      <c r="O95" s="59"/>
      <c r="P95" s="59"/>
      <c r="Q95" s="59"/>
      <c r="R95" s="59"/>
      <c r="S95" s="59"/>
      <c r="T95" s="59"/>
      <c r="U95" s="59"/>
      <c r="V95" s="59"/>
      <c r="W95" s="59"/>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row>
    <row r="96" spans="1:51" ht="9.75" customHeight="1">
      <c r="A96" s="175">
        <v>2024</v>
      </c>
      <c r="B96" s="397"/>
      <c r="C96" s="398"/>
      <c r="D96" s="333"/>
      <c r="E96" s="405">
        <v>42000</v>
      </c>
      <c r="F96" s="406"/>
      <c r="G96" s="425"/>
      <c r="H96" s="426"/>
      <c r="I96" s="427"/>
      <c r="J96" s="427"/>
      <c r="K96" s="427"/>
      <c r="L96" s="427"/>
      <c r="M96" s="427"/>
      <c r="N96" s="59"/>
      <c r="O96" s="59"/>
      <c r="P96" s="59"/>
      <c r="Q96" s="59"/>
      <c r="R96" s="59"/>
      <c r="S96" s="59"/>
      <c r="T96" s="59"/>
      <c r="U96" s="59"/>
      <c r="V96" s="59"/>
      <c r="W96" s="59"/>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row>
    <row r="97" spans="1:51" ht="9.75" customHeight="1" thickBot="1">
      <c r="A97" s="176">
        <v>2025</v>
      </c>
      <c r="B97" s="403"/>
      <c r="C97" s="404"/>
      <c r="D97" s="335"/>
      <c r="E97" s="423">
        <v>42300</v>
      </c>
      <c r="F97" s="424"/>
      <c r="G97" s="432"/>
      <c r="H97" s="433"/>
      <c r="I97" s="427"/>
      <c r="J97" s="427"/>
      <c r="K97" s="427"/>
      <c r="L97" s="427"/>
      <c r="M97" s="427"/>
      <c r="N97" s="59"/>
      <c r="O97" s="59"/>
      <c r="P97" s="59"/>
      <c r="Q97" s="59"/>
      <c r="R97" s="59"/>
      <c r="S97" s="59"/>
      <c r="T97" s="59"/>
      <c r="U97" s="59"/>
      <c r="V97" s="59"/>
      <c r="W97" s="59"/>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row>
    <row r="98" spans="1:51" ht="9.75" customHeight="1">
      <c r="A98" s="380">
        <v>2026</v>
      </c>
      <c r="B98" s="395"/>
      <c r="C98" s="396"/>
      <c r="D98" s="332"/>
      <c r="E98" s="430">
        <v>42500</v>
      </c>
      <c r="F98" s="431"/>
      <c r="G98" s="428"/>
      <c r="H98" s="429"/>
      <c r="I98" s="427"/>
      <c r="J98" s="427"/>
      <c r="K98" s="427"/>
      <c r="L98" s="427"/>
      <c r="M98" s="427"/>
      <c r="N98" s="59"/>
      <c r="O98" s="59"/>
      <c r="P98" s="59"/>
      <c r="Q98" s="59"/>
      <c r="R98" s="59"/>
      <c r="S98" s="59"/>
      <c r="T98" s="59"/>
      <c r="U98" s="59"/>
      <c r="V98" s="59"/>
      <c r="W98" s="59"/>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row>
    <row r="99" spans="1:51" ht="9.75" customHeight="1">
      <c r="A99" s="381">
        <v>2027</v>
      </c>
      <c r="B99" s="417"/>
      <c r="C99" s="418"/>
      <c r="D99" s="383"/>
      <c r="E99" s="423">
        <v>42600</v>
      </c>
      <c r="F99" s="446"/>
      <c r="G99" s="421"/>
      <c r="H99" s="422"/>
      <c r="I99" s="427"/>
      <c r="J99" s="427"/>
      <c r="K99" s="427"/>
      <c r="L99" s="427"/>
      <c r="M99" s="427"/>
      <c r="N99" s="59"/>
      <c r="O99" s="59"/>
      <c r="P99" s="59"/>
      <c r="Q99" s="59"/>
      <c r="R99" s="59"/>
      <c r="S99" s="59"/>
      <c r="T99" s="59"/>
      <c r="U99" s="59"/>
      <c r="V99" s="59"/>
      <c r="W99" s="59"/>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row>
    <row r="100" spans="1:51" ht="9.75" customHeight="1" thickBot="1">
      <c r="A100" s="381">
        <v>2028</v>
      </c>
      <c r="B100" s="417"/>
      <c r="C100" s="418"/>
      <c r="D100" s="383"/>
      <c r="E100" s="444">
        <v>42600</v>
      </c>
      <c r="F100" s="445"/>
      <c r="G100" s="432"/>
      <c r="H100" s="433"/>
      <c r="I100" s="427"/>
      <c r="J100" s="427"/>
      <c r="K100" s="427"/>
      <c r="L100" s="427"/>
      <c r="M100" s="427"/>
      <c r="N100" s="59"/>
      <c r="O100" s="59"/>
      <c r="P100" s="59"/>
      <c r="Q100" s="59"/>
      <c r="R100" s="59"/>
      <c r="S100" s="59"/>
      <c r="T100" s="59"/>
      <c r="U100" s="59"/>
      <c r="V100" s="59"/>
      <c r="W100" s="59"/>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51" ht="9.75" customHeight="1" thickBot="1">
      <c r="A101" s="382">
        <v>2029</v>
      </c>
      <c r="B101" s="434"/>
      <c r="C101" s="435"/>
      <c r="D101" s="384"/>
      <c r="E101" s="424">
        <v>39900</v>
      </c>
      <c r="F101" s="424"/>
      <c r="G101" s="443"/>
      <c r="H101" s="443"/>
      <c r="I101" s="427"/>
      <c r="J101" s="427"/>
      <c r="K101" s="427"/>
      <c r="L101" s="427"/>
      <c r="M101" s="427"/>
      <c r="N101" s="59"/>
      <c r="O101" s="59"/>
      <c r="P101" s="59"/>
      <c r="Q101" s="59"/>
      <c r="R101" s="59"/>
      <c r="S101" s="59"/>
      <c r="T101" s="59"/>
      <c r="U101" s="59"/>
      <c r="V101" s="59"/>
      <c r="W101" s="59"/>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51" ht="9.75" customHeight="1">
      <c r="A102" s="66"/>
      <c r="B102" s="316"/>
      <c r="C102" s="316"/>
      <c r="D102" s="66"/>
      <c r="E102" s="436"/>
      <c r="F102" s="436"/>
      <c r="G102" s="436"/>
      <c r="H102" s="436"/>
      <c r="I102" s="66"/>
      <c r="J102" s="66"/>
      <c r="K102" s="66"/>
      <c r="L102" s="66"/>
      <c r="M102" s="66"/>
      <c r="N102" s="59"/>
      <c r="O102" s="59"/>
      <c r="P102" s="59"/>
      <c r="Q102" s="59"/>
      <c r="R102" s="59"/>
      <c r="S102" s="59"/>
      <c r="T102" s="59"/>
      <c r="U102" s="59"/>
      <c r="V102" s="59"/>
      <c r="W102" s="59"/>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51" ht="9.75" customHeight="1">
      <c r="A103" s="66"/>
      <c r="B103" s="316"/>
      <c r="C103" s="316"/>
      <c r="D103" s="66"/>
      <c r="E103" s="316"/>
      <c r="F103" s="316"/>
      <c r="G103" s="316"/>
      <c r="H103" s="316"/>
      <c r="I103" s="66"/>
      <c r="J103" s="66"/>
      <c r="K103" s="66"/>
      <c r="L103" s="66"/>
      <c r="M103" s="66"/>
      <c r="N103" s="59"/>
      <c r="O103" s="59"/>
      <c r="P103" s="59"/>
      <c r="Q103" s="59"/>
      <c r="R103" s="59"/>
      <c r="S103" s="59"/>
      <c r="T103" s="59"/>
      <c r="U103" s="59"/>
      <c r="V103" s="59"/>
      <c r="W103" s="59"/>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51" ht="9.75" customHeight="1">
      <c r="A104" s="66"/>
      <c r="B104" s="316"/>
      <c r="C104" s="316"/>
      <c r="D104" s="66"/>
      <c r="E104" s="316"/>
      <c r="F104" s="316"/>
      <c r="G104" s="316"/>
      <c r="H104" s="316"/>
      <c r="I104" s="66"/>
      <c r="J104" s="66"/>
      <c r="K104" s="66"/>
      <c r="L104" s="66"/>
      <c r="M104" s="66"/>
      <c r="N104" s="59"/>
      <c r="O104" s="59"/>
      <c r="P104" s="59"/>
      <c r="Q104" s="59"/>
      <c r="R104" s="59"/>
      <c r="S104" s="59"/>
      <c r="T104" s="59"/>
      <c r="U104" s="59"/>
      <c r="V104" s="59"/>
      <c r="W104" s="59"/>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row>
    <row r="105" spans="1:51" ht="9.75" customHeight="1">
      <c r="A105" s="66"/>
      <c r="B105" s="66"/>
      <c r="C105" s="66"/>
      <c r="D105" s="66"/>
      <c r="E105" s="316"/>
      <c r="F105" s="316"/>
      <c r="G105" s="316"/>
      <c r="H105" s="316"/>
      <c r="I105" s="66"/>
      <c r="J105" s="66"/>
      <c r="K105" s="66"/>
      <c r="L105" s="66"/>
      <c r="M105" s="66"/>
      <c r="N105" s="59"/>
      <c r="O105" s="59"/>
      <c r="P105" s="59"/>
      <c r="Q105" s="59"/>
      <c r="R105" s="59"/>
      <c r="S105" s="59"/>
      <c r="T105" s="59"/>
      <c r="U105" s="59"/>
      <c r="V105" s="59"/>
      <c r="W105" s="59"/>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51" ht="9.75" customHeight="1">
      <c r="A106" s="66"/>
      <c r="B106" s="66"/>
      <c r="C106" s="66"/>
      <c r="D106" s="66"/>
      <c r="E106" s="316"/>
      <c r="F106" s="316"/>
      <c r="G106" s="316"/>
      <c r="H106" s="316"/>
      <c r="I106" s="66"/>
      <c r="J106" s="66"/>
      <c r="K106" s="66"/>
      <c r="L106" s="66"/>
      <c r="M106" s="66"/>
      <c r="N106" s="59"/>
      <c r="O106" s="59"/>
      <c r="P106" s="59"/>
      <c r="Q106" s="59"/>
      <c r="R106" s="59"/>
      <c r="S106" s="59"/>
      <c r="T106" s="59"/>
      <c r="U106" s="59"/>
      <c r="V106" s="59"/>
      <c r="W106" s="59"/>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row>
    <row r="107" spans="1:51" ht="9.75" customHeight="1">
      <c r="A107" s="66"/>
      <c r="B107" s="66"/>
      <c r="C107" s="66"/>
      <c r="D107" s="66"/>
      <c r="E107" s="316"/>
      <c r="F107" s="316"/>
      <c r="G107" s="316"/>
      <c r="H107" s="316"/>
      <c r="I107" s="66"/>
      <c r="J107" s="66"/>
      <c r="K107" s="66"/>
      <c r="L107" s="66"/>
      <c r="M107" s="66"/>
      <c r="N107" s="59"/>
      <c r="O107" s="59"/>
      <c r="P107" s="59"/>
      <c r="Q107" s="59"/>
      <c r="R107" s="59"/>
      <c r="S107" s="59"/>
      <c r="T107" s="59"/>
      <c r="U107" s="59"/>
      <c r="V107" s="59"/>
      <c r="W107" s="59"/>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row>
    <row r="108" spans="1:64" ht="9.75" customHeight="1">
      <c r="A108" s="66"/>
      <c r="B108" s="66"/>
      <c r="C108" s="66"/>
      <c r="D108" s="66"/>
      <c r="E108" s="66"/>
      <c r="F108" s="66"/>
      <c r="G108" s="66"/>
      <c r="H108" s="66"/>
      <c r="I108" s="66"/>
      <c r="J108" s="66"/>
      <c r="K108" s="66"/>
      <c r="L108" s="66"/>
      <c r="M108" s="66"/>
      <c r="N108" s="59"/>
      <c r="O108" s="59"/>
      <c r="P108" s="59"/>
      <c r="Q108" s="59"/>
      <c r="R108" s="59"/>
      <c r="S108" s="59"/>
      <c r="T108" s="59"/>
      <c r="U108" s="59"/>
      <c r="V108" s="59"/>
      <c r="W108" s="59"/>
      <c r="X108" s="59"/>
      <c r="Y108" s="59"/>
      <c r="Z108" s="59"/>
      <c r="AA108" s="59"/>
      <c r="AB108" s="59"/>
      <c r="AC108" s="59"/>
      <c r="AD108" s="59"/>
      <c r="AE108" s="59"/>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row>
    <row r="109" spans="1:64" ht="12.75">
      <c r="A109" s="66"/>
      <c r="B109" s="66"/>
      <c r="C109" s="66"/>
      <c r="D109" s="66"/>
      <c r="E109" s="66"/>
      <c r="F109" s="66"/>
      <c r="G109" s="66"/>
      <c r="H109" s="66"/>
      <c r="I109" s="66"/>
      <c r="J109" s="66"/>
      <c r="K109" s="66"/>
      <c r="L109" s="66"/>
      <c r="M109" s="66"/>
      <c r="N109" s="59"/>
      <c r="O109" s="59"/>
      <c r="P109" s="59"/>
      <c r="Q109" s="59"/>
      <c r="R109" s="59"/>
      <c r="S109" s="59"/>
      <c r="T109" s="59"/>
      <c r="U109" s="59"/>
      <c r="V109" s="59"/>
      <c r="W109" s="59"/>
      <c r="X109" s="59"/>
      <c r="Y109" s="59"/>
      <c r="Z109" s="59"/>
      <c r="AA109" s="59"/>
      <c r="AB109" s="59"/>
      <c r="AC109" s="59"/>
      <c r="AD109" s="59"/>
      <c r="AE109" s="59"/>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row>
    <row r="110" spans="1:64" ht="12.75">
      <c r="A110" s="66"/>
      <c r="B110" s="66"/>
      <c r="C110" s="66"/>
      <c r="D110" s="66"/>
      <c r="E110" s="66"/>
      <c r="F110" s="66"/>
      <c r="G110" s="66"/>
      <c r="H110" s="66"/>
      <c r="I110" s="66"/>
      <c r="J110" s="66"/>
      <c r="K110" s="66"/>
      <c r="L110" s="66"/>
      <c r="M110" s="66"/>
      <c r="N110" s="59"/>
      <c r="O110" s="59"/>
      <c r="P110" s="59"/>
      <c r="Q110" s="59"/>
      <c r="R110" s="59"/>
      <c r="S110" s="59"/>
      <c r="T110" s="59"/>
      <c r="U110" s="59"/>
      <c r="V110" s="59"/>
      <c r="W110" s="59"/>
      <c r="X110" s="59"/>
      <c r="Y110" s="59"/>
      <c r="Z110" s="59"/>
      <c r="AA110" s="59"/>
      <c r="AB110" s="59"/>
      <c r="AC110" s="59"/>
      <c r="AD110" s="59"/>
      <c r="AE110" s="59"/>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row>
    <row r="111" spans="1:64" ht="12.75">
      <c r="A111" s="66"/>
      <c r="B111" s="66"/>
      <c r="C111" s="66"/>
      <c r="D111" s="66"/>
      <c r="E111" s="66"/>
      <c r="F111" s="66"/>
      <c r="G111" s="66"/>
      <c r="H111" s="66"/>
      <c r="I111" s="66"/>
      <c r="J111" s="66"/>
      <c r="K111" s="66"/>
      <c r="L111" s="66"/>
      <c r="M111" s="66"/>
      <c r="N111" s="59"/>
      <c r="O111" s="59"/>
      <c r="P111" s="59"/>
      <c r="Q111" s="59"/>
      <c r="R111" s="59"/>
      <c r="S111" s="59"/>
      <c r="T111" s="59"/>
      <c r="U111" s="59"/>
      <c r="V111" s="59"/>
      <c r="W111" s="59"/>
      <c r="X111" s="59"/>
      <c r="Y111" s="59"/>
      <c r="Z111" s="59"/>
      <c r="AA111" s="59"/>
      <c r="AB111" s="59"/>
      <c r="AC111" s="59"/>
      <c r="AD111" s="59"/>
      <c r="AE111" s="59"/>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row>
    <row r="112" spans="1:64" ht="12.75">
      <c r="A112" s="66"/>
      <c r="B112" s="66"/>
      <c r="C112" s="66"/>
      <c r="D112" s="66"/>
      <c r="E112" s="66"/>
      <c r="F112" s="66"/>
      <c r="G112" s="66"/>
      <c r="H112" s="66"/>
      <c r="I112" s="66"/>
      <c r="J112" s="66"/>
      <c r="K112" s="66"/>
      <c r="L112" s="66"/>
      <c r="M112" s="66"/>
      <c r="N112" s="59"/>
      <c r="O112" s="59"/>
      <c r="P112" s="59"/>
      <c r="Q112" s="59"/>
      <c r="R112" s="59"/>
      <c r="S112" s="59"/>
      <c r="T112" s="59"/>
      <c r="U112" s="59"/>
      <c r="V112" s="59"/>
      <c r="W112" s="59"/>
      <c r="X112" s="59"/>
      <c r="Y112" s="59"/>
      <c r="Z112" s="59"/>
      <c r="AA112" s="59"/>
      <c r="AB112" s="59"/>
      <c r="AC112" s="59"/>
      <c r="AD112" s="59"/>
      <c r="AE112" s="59"/>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row>
    <row r="113" spans="1:64" ht="12.75">
      <c r="A113" s="66"/>
      <c r="B113" s="66"/>
      <c r="C113" s="66"/>
      <c r="D113" s="66"/>
      <c r="E113" s="66"/>
      <c r="F113" s="66"/>
      <c r="G113" s="66"/>
      <c r="H113" s="66"/>
      <c r="I113" s="66"/>
      <c r="J113" s="66"/>
      <c r="K113" s="66"/>
      <c r="L113" s="66"/>
      <c r="M113" s="66"/>
      <c r="N113" s="59"/>
      <c r="O113" s="59"/>
      <c r="P113" s="59"/>
      <c r="Q113" s="59"/>
      <c r="R113" s="59"/>
      <c r="S113" s="59"/>
      <c r="T113" s="59"/>
      <c r="U113" s="59"/>
      <c r="V113" s="59"/>
      <c r="W113" s="59"/>
      <c r="X113" s="59"/>
      <c r="Y113" s="59"/>
      <c r="Z113" s="59"/>
      <c r="AA113" s="59"/>
      <c r="AB113" s="59"/>
      <c r="AC113" s="59"/>
      <c r="AD113" s="59"/>
      <c r="AE113" s="59"/>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row>
    <row r="114" spans="1:64" ht="12.75">
      <c r="A114" s="66"/>
      <c r="B114" s="66"/>
      <c r="C114" s="66"/>
      <c r="D114" s="66"/>
      <c r="E114" s="66"/>
      <c r="F114" s="66"/>
      <c r="G114" s="66"/>
      <c r="H114" s="66"/>
      <c r="I114" s="66"/>
      <c r="J114" s="66"/>
      <c r="K114" s="66"/>
      <c r="L114" s="66"/>
      <c r="M114" s="66"/>
      <c r="N114" s="59"/>
      <c r="O114" s="59"/>
      <c r="P114" s="59"/>
      <c r="Q114" s="59"/>
      <c r="R114" s="59"/>
      <c r="S114" s="59"/>
      <c r="T114" s="59"/>
      <c r="U114" s="59"/>
      <c r="V114" s="59"/>
      <c r="W114" s="59"/>
      <c r="X114" s="59"/>
      <c r="Y114" s="59"/>
      <c r="Z114" s="59"/>
      <c r="AA114" s="59"/>
      <c r="AB114" s="59"/>
      <c r="AC114" s="59"/>
      <c r="AD114" s="59"/>
      <c r="AE114" s="59"/>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row>
    <row r="115" spans="1:64" ht="12.75">
      <c r="A115" s="66"/>
      <c r="B115" s="66"/>
      <c r="C115" s="66"/>
      <c r="D115" s="66"/>
      <c r="E115" s="66"/>
      <c r="F115" s="66"/>
      <c r="G115" s="66"/>
      <c r="H115" s="66"/>
      <c r="I115" s="66"/>
      <c r="J115" s="66"/>
      <c r="K115" s="66"/>
      <c r="L115" s="66"/>
      <c r="M115" s="66"/>
      <c r="N115" s="59"/>
      <c r="O115" s="59"/>
      <c r="P115" s="59"/>
      <c r="Q115" s="59"/>
      <c r="R115" s="59"/>
      <c r="S115" s="59"/>
      <c r="T115" s="59"/>
      <c r="U115" s="59"/>
      <c r="V115" s="59"/>
      <c r="W115" s="59"/>
      <c r="X115" s="59"/>
      <c r="Y115" s="59"/>
      <c r="Z115" s="59"/>
      <c r="AA115" s="59"/>
      <c r="AB115" s="59"/>
      <c r="AC115" s="59"/>
      <c r="AD115" s="59"/>
      <c r="AE115" s="59"/>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row>
    <row r="116" spans="1:64" ht="12.75">
      <c r="A116" s="66"/>
      <c r="B116" s="66"/>
      <c r="C116" s="66"/>
      <c r="D116" s="66"/>
      <c r="E116" s="66"/>
      <c r="F116" s="66"/>
      <c r="G116" s="66"/>
      <c r="H116" s="66"/>
      <c r="I116" s="66"/>
      <c r="J116" s="66"/>
      <c r="K116" s="66"/>
      <c r="L116" s="66"/>
      <c r="M116" s="66"/>
      <c r="N116" s="59"/>
      <c r="O116" s="59"/>
      <c r="P116" s="59"/>
      <c r="Q116" s="59"/>
      <c r="R116" s="59"/>
      <c r="S116" s="59"/>
      <c r="T116" s="59"/>
      <c r="U116" s="59"/>
      <c r="V116" s="59"/>
      <c r="W116" s="59"/>
      <c r="X116" s="59"/>
      <c r="Y116" s="59"/>
      <c r="Z116" s="59"/>
      <c r="AA116" s="59"/>
      <c r="AB116" s="59"/>
      <c r="AC116" s="59"/>
      <c r="AD116" s="59"/>
      <c r="AE116" s="59"/>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row>
    <row r="117" spans="1:64" ht="12.75">
      <c r="A117" s="66"/>
      <c r="B117" s="66"/>
      <c r="C117" s="66"/>
      <c r="D117" s="66"/>
      <c r="E117" s="66"/>
      <c r="F117" s="66"/>
      <c r="G117" s="66"/>
      <c r="H117" s="66"/>
      <c r="I117" s="66"/>
      <c r="J117" s="66"/>
      <c r="K117" s="66"/>
      <c r="L117" s="66"/>
      <c r="M117" s="66"/>
      <c r="N117" s="59"/>
      <c r="O117" s="59"/>
      <c r="P117" s="59"/>
      <c r="Q117" s="59"/>
      <c r="R117" s="59"/>
      <c r="S117" s="59"/>
      <c r="T117" s="59"/>
      <c r="U117" s="59"/>
      <c r="V117" s="59"/>
      <c r="W117" s="59"/>
      <c r="X117" s="59"/>
      <c r="Y117" s="59"/>
      <c r="Z117" s="59"/>
      <c r="AA117" s="59"/>
      <c r="AB117" s="59"/>
      <c r="AC117" s="59"/>
      <c r="AD117" s="59"/>
      <c r="AE117" s="59"/>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row>
    <row r="118" spans="1:64" ht="12.75">
      <c r="A118" s="66"/>
      <c r="B118" s="66"/>
      <c r="C118" s="66"/>
      <c r="D118" s="66"/>
      <c r="E118" s="66"/>
      <c r="F118" s="66"/>
      <c r="G118" s="66"/>
      <c r="H118" s="66"/>
      <c r="I118" s="66"/>
      <c r="J118" s="66"/>
      <c r="K118" s="66"/>
      <c r="L118" s="66"/>
      <c r="M118" s="66"/>
      <c r="N118" s="59"/>
      <c r="O118" s="59"/>
      <c r="P118" s="59"/>
      <c r="Q118" s="59"/>
      <c r="R118" s="59"/>
      <c r="S118" s="59"/>
      <c r="T118" s="59"/>
      <c r="U118" s="59"/>
      <c r="V118" s="59"/>
      <c r="W118" s="59"/>
      <c r="X118" s="59"/>
      <c r="Y118" s="59"/>
      <c r="Z118" s="59"/>
      <c r="AA118" s="59"/>
      <c r="AB118" s="59"/>
      <c r="AC118" s="59"/>
      <c r="AD118" s="59"/>
      <c r="AE118" s="59"/>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row>
    <row r="119" spans="1:64" ht="12.75">
      <c r="A119" s="66"/>
      <c r="B119" s="66"/>
      <c r="C119" s="66"/>
      <c r="D119" s="66"/>
      <c r="E119" s="66"/>
      <c r="F119" s="66"/>
      <c r="G119" s="66"/>
      <c r="H119" s="66"/>
      <c r="I119" s="66"/>
      <c r="J119" s="66"/>
      <c r="K119" s="66"/>
      <c r="L119" s="66"/>
      <c r="M119" s="66"/>
      <c r="N119" s="59"/>
      <c r="O119" s="59"/>
      <c r="P119" s="59"/>
      <c r="Q119" s="59"/>
      <c r="R119" s="59"/>
      <c r="S119" s="59"/>
      <c r="T119" s="59"/>
      <c r="U119" s="59"/>
      <c r="V119" s="59"/>
      <c r="W119" s="59"/>
      <c r="X119" s="59"/>
      <c r="Y119" s="59"/>
      <c r="Z119" s="59"/>
      <c r="AA119" s="59"/>
      <c r="AB119" s="59"/>
      <c r="AC119" s="59"/>
      <c r="AD119" s="59"/>
      <c r="AE119" s="59"/>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row>
    <row r="120" spans="1:64" ht="12.75">
      <c r="A120" s="66"/>
      <c r="B120" s="66"/>
      <c r="C120" s="66"/>
      <c r="D120" s="66"/>
      <c r="E120" s="66"/>
      <c r="F120" s="66"/>
      <c r="G120" s="66"/>
      <c r="H120" s="66"/>
      <c r="I120" s="66"/>
      <c r="J120" s="66"/>
      <c r="K120" s="66"/>
      <c r="L120" s="66"/>
      <c r="M120" s="66"/>
      <c r="N120" s="59"/>
      <c r="O120" s="59"/>
      <c r="P120" s="59"/>
      <c r="Q120" s="59"/>
      <c r="R120" s="59"/>
      <c r="S120" s="59"/>
      <c r="T120" s="59"/>
      <c r="U120" s="59"/>
      <c r="V120" s="59"/>
      <c r="W120" s="59"/>
      <c r="X120" s="59"/>
      <c r="Y120" s="59"/>
      <c r="Z120" s="59"/>
      <c r="AA120" s="59"/>
      <c r="AB120" s="59"/>
      <c r="AC120" s="59"/>
      <c r="AD120" s="59"/>
      <c r="AE120" s="59"/>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row>
    <row r="121" spans="1:64" ht="12.75">
      <c r="A121" s="66"/>
      <c r="B121" s="66"/>
      <c r="C121" s="66"/>
      <c r="D121" s="66"/>
      <c r="E121" s="66"/>
      <c r="F121" s="66"/>
      <c r="G121" s="66"/>
      <c r="H121" s="66"/>
      <c r="I121" s="66"/>
      <c r="J121" s="66"/>
      <c r="K121" s="66"/>
      <c r="L121" s="66"/>
      <c r="M121" s="66"/>
      <c r="N121" s="59"/>
      <c r="O121" s="59"/>
      <c r="P121" s="59"/>
      <c r="Q121" s="59"/>
      <c r="R121" s="59"/>
      <c r="S121" s="59"/>
      <c r="T121" s="59"/>
      <c r="U121" s="59"/>
      <c r="V121" s="59"/>
      <c r="W121" s="59"/>
      <c r="X121" s="59"/>
      <c r="Y121" s="59"/>
      <c r="Z121" s="59"/>
      <c r="AA121" s="59"/>
      <c r="AB121" s="59"/>
      <c r="AC121" s="59"/>
      <c r="AD121" s="59"/>
      <c r="AE121" s="59"/>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row>
    <row r="122" spans="1:64" ht="12.75">
      <c r="A122" s="66"/>
      <c r="B122" s="66"/>
      <c r="C122" s="66"/>
      <c r="D122" s="66"/>
      <c r="E122" s="66"/>
      <c r="F122" s="66"/>
      <c r="G122" s="66"/>
      <c r="H122" s="66"/>
      <c r="I122" s="66"/>
      <c r="J122" s="66"/>
      <c r="K122" s="66"/>
      <c r="L122" s="66"/>
      <c r="M122" s="66"/>
      <c r="N122" s="59"/>
      <c r="O122" s="59"/>
      <c r="P122" s="59"/>
      <c r="Q122" s="59"/>
      <c r="R122" s="59"/>
      <c r="S122" s="59"/>
      <c r="T122" s="59"/>
      <c r="U122" s="59"/>
      <c r="V122" s="59"/>
      <c r="W122" s="59"/>
      <c r="X122" s="59"/>
      <c r="Y122" s="59"/>
      <c r="Z122" s="59"/>
      <c r="AA122" s="59"/>
      <c r="AB122" s="59"/>
      <c r="AC122" s="59"/>
      <c r="AD122" s="59"/>
      <c r="AE122" s="59"/>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row>
    <row r="123" spans="1:64" ht="12.75">
      <c r="A123" s="66"/>
      <c r="B123" s="66"/>
      <c r="C123" s="66"/>
      <c r="D123" s="66"/>
      <c r="E123" s="66"/>
      <c r="F123" s="66"/>
      <c r="G123" s="66"/>
      <c r="H123" s="66"/>
      <c r="I123" s="66"/>
      <c r="J123" s="66"/>
      <c r="K123" s="66"/>
      <c r="L123" s="66"/>
      <c r="M123" s="66"/>
      <c r="N123" s="59"/>
      <c r="O123" s="59"/>
      <c r="P123" s="59"/>
      <c r="Q123" s="59"/>
      <c r="R123" s="59"/>
      <c r="S123" s="59"/>
      <c r="T123" s="59"/>
      <c r="U123" s="59"/>
      <c r="V123" s="59"/>
      <c r="W123" s="59"/>
      <c r="X123" s="59"/>
      <c r="Y123" s="59"/>
      <c r="Z123" s="59"/>
      <c r="AA123" s="59"/>
      <c r="AB123" s="59"/>
      <c r="AC123" s="59"/>
      <c r="AD123" s="59"/>
      <c r="AE123" s="59"/>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row>
    <row r="124" spans="1:64" ht="12.75">
      <c r="A124" s="66"/>
      <c r="B124" s="66"/>
      <c r="C124" s="66"/>
      <c r="D124" s="66"/>
      <c r="E124" s="66"/>
      <c r="F124" s="66"/>
      <c r="G124" s="66"/>
      <c r="H124" s="66"/>
      <c r="I124" s="66"/>
      <c r="J124" s="66"/>
      <c r="K124" s="66"/>
      <c r="L124" s="66"/>
      <c r="M124" s="66"/>
      <c r="N124" s="59"/>
      <c r="O124" s="59"/>
      <c r="P124" s="59"/>
      <c r="Q124" s="59"/>
      <c r="R124" s="59"/>
      <c r="S124" s="59"/>
      <c r="T124" s="59"/>
      <c r="U124" s="59"/>
      <c r="V124" s="59"/>
      <c r="W124" s="59"/>
      <c r="X124" s="59"/>
      <c r="Y124" s="59"/>
      <c r="Z124" s="59"/>
      <c r="AA124" s="59"/>
      <c r="AB124" s="59"/>
      <c r="AC124" s="59"/>
      <c r="AD124" s="59"/>
      <c r="AE124" s="59"/>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row>
    <row r="125" spans="1:64" ht="12.75">
      <c r="A125" s="66"/>
      <c r="B125" s="66"/>
      <c r="C125" s="66"/>
      <c r="D125" s="66"/>
      <c r="E125" s="66"/>
      <c r="F125" s="66"/>
      <c r="G125" s="66"/>
      <c r="H125" s="66"/>
      <c r="I125" s="66"/>
      <c r="J125" s="66"/>
      <c r="K125" s="66"/>
      <c r="L125" s="66"/>
      <c r="M125" s="66"/>
      <c r="N125" s="59"/>
      <c r="O125" s="59"/>
      <c r="P125" s="59"/>
      <c r="Q125" s="59"/>
      <c r="R125" s="59"/>
      <c r="S125" s="59"/>
      <c r="T125" s="59"/>
      <c r="U125" s="59"/>
      <c r="V125" s="59"/>
      <c r="W125" s="59"/>
      <c r="X125" s="59"/>
      <c r="Y125" s="59"/>
      <c r="Z125" s="59"/>
      <c r="AA125" s="59"/>
      <c r="AB125" s="59"/>
      <c r="AC125" s="59"/>
      <c r="AD125" s="59"/>
      <c r="AE125" s="59"/>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row>
    <row r="126" spans="1:64" ht="12.75">
      <c r="A126" s="66"/>
      <c r="B126" s="66"/>
      <c r="C126" s="66"/>
      <c r="D126" s="66"/>
      <c r="E126" s="66"/>
      <c r="F126" s="66"/>
      <c r="G126" s="66"/>
      <c r="H126" s="66"/>
      <c r="I126" s="66"/>
      <c r="J126" s="66"/>
      <c r="K126" s="66"/>
      <c r="L126" s="66"/>
      <c r="M126" s="66"/>
      <c r="N126" s="59"/>
      <c r="O126" s="59"/>
      <c r="P126" s="59"/>
      <c r="Q126" s="59"/>
      <c r="R126" s="59"/>
      <c r="S126" s="59"/>
      <c r="T126" s="59"/>
      <c r="U126" s="59"/>
      <c r="V126" s="59"/>
      <c r="W126" s="59"/>
      <c r="X126" s="59"/>
      <c r="Y126" s="59"/>
      <c r="Z126" s="59"/>
      <c r="AA126" s="59"/>
      <c r="AB126" s="59"/>
      <c r="AC126" s="59"/>
      <c r="AD126" s="59"/>
      <c r="AE126" s="59"/>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row>
    <row r="127" spans="1:64" ht="12.75">
      <c r="A127" s="66"/>
      <c r="B127" s="66"/>
      <c r="C127" s="66"/>
      <c r="D127" s="66"/>
      <c r="E127" s="66"/>
      <c r="F127" s="66"/>
      <c r="G127" s="66"/>
      <c r="H127" s="66"/>
      <c r="I127" s="66"/>
      <c r="J127" s="66"/>
      <c r="K127" s="66"/>
      <c r="L127" s="66"/>
      <c r="M127" s="66"/>
      <c r="N127" s="59"/>
      <c r="O127" s="59"/>
      <c r="P127" s="59"/>
      <c r="Q127" s="59"/>
      <c r="R127" s="59"/>
      <c r="S127" s="59"/>
      <c r="T127" s="59"/>
      <c r="U127" s="59"/>
      <c r="V127" s="59"/>
      <c r="W127" s="59"/>
      <c r="X127" s="59"/>
      <c r="Y127" s="59"/>
      <c r="Z127" s="59"/>
      <c r="AA127" s="59"/>
      <c r="AB127" s="59"/>
      <c r="AC127" s="59"/>
      <c r="AD127" s="59"/>
      <c r="AE127" s="59"/>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row>
    <row r="128" spans="1:64" ht="12.75">
      <c r="A128" s="66"/>
      <c r="B128" s="66"/>
      <c r="C128" s="66"/>
      <c r="D128" s="66"/>
      <c r="E128" s="66"/>
      <c r="F128" s="66"/>
      <c r="G128" s="66"/>
      <c r="H128" s="66"/>
      <c r="I128" s="66"/>
      <c r="J128" s="66"/>
      <c r="K128" s="66"/>
      <c r="L128" s="66"/>
      <c r="M128" s="66"/>
      <c r="N128" s="59"/>
      <c r="O128" s="59"/>
      <c r="P128" s="59"/>
      <c r="Q128" s="59"/>
      <c r="R128" s="59"/>
      <c r="S128" s="59"/>
      <c r="T128" s="59"/>
      <c r="U128" s="59"/>
      <c r="V128" s="59"/>
      <c r="W128" s="59"/>
      <c r="X128" s="59"/>
      <c r="Y128" s="59"/>
      <c r="Z128" s="59"/>
      <c r="AA128" s="59"/>
      <c r="AB128" s="59"/>
      <c r="AC128" s="59"/>
      <c r="AD128" s="59"/>
      <c r="AE128" s="59"/>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row>
    <row r="129" spans="1:64" ht="12.75">
      <c r="A129" s="66"/>
      <c r="B129" s="66"/>
      <c r="C129" s="66"/>
      <c r="D129" s="66"/>
      <c r="E129" s="66"/>
      <c r="F129" s="66"/>
      <c r="G129" s="66"/>
      <c r="H129" s="66"/>
      <c r="I129" s="66"/>
      <c r="J129" s="66"/>
      <c r="K129" s="66"/>
      <c r="L129" s="66"/>
      <c r="M129" s="66"/>
      <c r="N129" s="59"/>
      <c r="O129" s="59"/>
      <c r="P129" s="59"/>
      <c r="Q129" s="59"/>
      <c r="R129" s="59"/>
      <c r="S129" s="59"/>
      <c r="T129" s="59"/>
      <c r="U129" s="59"/>
      <c r="V129" s="59"/>
      <c r="W129" s="59"/>
      <c r="X129" s="59"/>
      <c r="Y129" s="59"/>
      <c r="Z129" s="59"/>
      <c r="AA129" s="59"/>
      <c r="AB129" s="59"/>
      <c r="AC129" s="59"/>
      <c r="AD129" s="59"/>
      <c r="AE129" s="59"/>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row>
    <row r="130" spans="1:64" ht="12.75">
      <c r="A130" s="66"/>
      <c r="B130" s="66"/>
      <c r="C130" s="66"/>
      <c r="D130" s="66"/>
      <c r="E130" s="66"/>
      <c r="F130" s="66"/>
      <c r="G130" s="66"/>
      <c r="H130" s="66"/>
      <c r="I130" s="66"/>
      <c r="J130" s="66"/>
      <c r="K130" s="66"/>
      <c r="L130" s="66"/>
      <c r="M130" s="66"/>
      <c r="N130" s="59"/>
      <c r="O130" s="59"/>
      <c r="P130" s="59"/>
      <c r="Q130" s="59"/>
      <c r="R130" s="59"/>
      <c r="S130" s="59"/>
      <c r="T130" s="59"/>
      <c r="U130" s="59"/>
      <c r="V130" s="59"/>
      <c r="W130" s="59"/>
      <c r="X130" s="59"/>
      <c r="Y130" s="59"/>
      <c r="Z130" s="59"/>
      <c r="AA130" s="59"/>
      <c r="AB130" s="59"/>
      <c r="AC130" s="59"/>
      <c r="AD130" s="59"/>
      <c r="AE130" s="59"/>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row>
    <row r="131" spans="1:64" ht="12.75">
      <c r="A131" s="66"/>
      <c r="B131" s="66"/>
      <c r="C131" s="66"/>
      <c r="D131" s="66"/>
      <c r="E131" s="66"/>
      <c r="F131" s="66"/>
      <c r="G131" s="66"/>
      <c r="H131" s="66"/>
      <c r="I131" s="66"/>
      <c r="J131" s="66"/>
      <c r="K131" s="66"/>
      <c r="L131" s="66"/>
      <c r="M131" s="66"/>
      <c r="N131" s="59"/>
      <c r="O131" s="59"/>
      <c r="P131" s="59"/>
      <c r="Q131" s="59"/>
      <c r="R131" s="59"/>
      <c r="S131" s="59"/>
      <c r="T131" s="59"/>
      <c r="U131" s="59"/>
      <c r="V131" s="59"/>
      <c r="W131" s="59"/>
      <c r="X131" s="59"/>
      <c r="Y131" s="59"/>
      <c r="Z131" s="59"/>
      <c r="AA131" s="59"/>
      <c r="AB131" s="59"/>
      <c r="AC131" s="59"/>
      <c r="AD131" s="59"/>
      <c r="AE131" s="59"/>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row>
    <row r="132" spans="1:64" ht="12.75">
      <c r="A132" s="66"/>
      <c r="B132" s="66"/>
      <c r="C132" s="66"/>
      <c r="D132" s="66"/>
      <c r="E132" s="66"/>
      <c r="F132" s="66"/>
      <c r="G132" s="66"/>
      <c r="H132" s="66"/>
      <c r="I132" s="66"/>
      <c r="J132" s="66"/>
      <c r="K132" s="66"/>
      <c r="L132" s="66"/>
      <c r="M132" s="66"/>
      <c r="N132" s="59"/>
      <c r="O132" s="59"/>
      <c r="P132" s="59"/>
      <c r="Q132" s="59"/>
      <c r="R132" s="59"/>
      <c r="S132" s="59"/>
      <c r="T132" s="59"/>
      <c r="U132" s="59"/>
      <c r="V132" s="59"/>
      <c r="W132" s="59"/>
      <c r="X132" s="59"/>
      <c r="Y132" s="59"/>
      <c r="Z132" s="59"/>
      <c r="AA132" s="59"/>
      <c r="AB132" s="59"/>
      <c r="AC132" s="59"/>
      <c r="AD132" s="59"/>
      <c r="AE132" s="59"/>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row>
    <row r="133" spans="1:64" ht="12.75">
      <c r="A133" s="66"/>
      <c r="B133" s="66"/>
      <c r="C133" s="66"/>
      <c r="D133" s="66"/>
      <c r="E133" s="66"/>
      <c r="F133" s="66"/>
      <c r="G133" s="66"/>
      <c r="H133" s="66"/>
      <c r="I133" s="66"/>
      <c r="J133" s="66"/>
      <c r="K133" s="66"/>
      <c r="L133" s="66"/>
      <c r="M133" s="66"/>
      <c r="N133" s="59"/>
      <c r="O133" s="59"/>
      <c r="P133" s="59"/>
      <c r="Q133" s="59"/>
      <c r="R133" s="59"/>
      <c r="S133" s="59"/>
      <c r="T133" s="59"/>
      <c r="U133" s="59"/>
      <c r="V133" s="59"/>
      <c r="W133" s="59"/>
      <c r="X133" s="59"/>
      <c r="Y133" s="59"/>
      <c r="Z133" s="59"/>
      <c r="AA133" s="59"/>
      <c r="AB133" s="59"/>
      <c r="AC133" s="59"/>
      <c r="AD133" s="59"/>
      <c r="AE133" s="59"/>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row>
    <row r="134" spans="1:64" ht="12.75">
      <c r="A134" s="66"/>
      <c r="B134" s="66"/>
      <c r="C134" s="66"/>
      <c r="D134" s="66"/>
      <c r="E134" s="66"/>
      <c r="F134" s="66"/>
      <c r="G134" s="66"/>
      <c r="H134" s="66"/>
      <c r="I134" s="66"/>
      <c r="J134" s="66"/>
      <c r="K134" s="66"/>
      <c r="L134" s="66"/>
      <c r="M134" s="66"/>
      <c r="N134" s="59"/>
      <c r="O134" s="59"/>
      <c r="P134" s="59"/>
      <c r="Q134" s="59"/>
      <c r="R134" s="59"/>
      <c r="S134" s="59"/>
      <c r="T134" s="59"/>
      <c r="U134" s="59"/>
      <c r="V134" s="59"/>
      <c r="W134" s="59"/>
      <c r="X134" s="59"/>
      <c r="Y134" s="59"/>
      <c r="Z134" s="59"/>
      <c r="AA134" s="59"/>
      <c r="AB134" s="59"/>
      <c r="AC134" s="59"/>
      <c r="AD134" s="59"/>
      <c r="AE134" s="59"/>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row>
    <row r="135" spans="1:64" ht="12.75">
      <c r="A135" s="66"/>
      <c r="B135" s="66"/>
      <c r="C135" s="66"/>
      <c r="D135" s="66"/>
      <c r="E135" s="66"/>
      <c r="F135" s="66"/>
      <c r="G135" s="66"/>
      <c r="H135" s="66"/>
      <c r="I135" s="66"/>
      <c r="J135" s="66"/>
      <c r="K135" s="66"/>
      <c r="L135" s="66"/>
      <c r="M135" s="66"/>
      <c r="N135" s="59"/>
      <c r="O135" s="59"/>
      <c r="P135" s="59"/>
      <c r="Q135" s="59"/>
      <c r="R135" s="59"/>
      <c r="S135" s="59"/>
      <c r="T135" s="59"/>
      <c r="U135" s="59"/>
      <c r="V135" s="59"/>
      <c r="W135" s="59"/>
      <c r="X135" s="59"/>
      <c r="Y135" s="59"/>
      <c r="Z135" s="59"/>
      <c r="AA135" s="59"/>
      <c r="AB135" s="59"/>
      <c r="AC135" s="59"/>
      <c r="AD135" s="59"/>
      <c r="AE135" s="59"/>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row>
    <row r="136" spans="1:64" ht="12.75">
      <c r="A136" s="66"/>
      <c r="B136" s="66"/>
      <c r="C136" s="66"/>
      <c r="D136" s="66"/>
      <c r="E136" s="66"/>
      <c r="F136" s="66"/>
      <c r="G136" s="66"/>
      <c r="H136" s="66"/>
      <c r="I136" s="66"/>
      <c r="J136" s="66"/>
      <c r="K136" s="66"/>
      <c r="L136" s="66"/>
      <c r="M136" s="66"/>
      <c r="N136" s="59"/>
      <c r="O136" s="59"/>
      <c r="P136" s="59"/>
      <c r="Q136" s="59"/>
      <c r="R136" s="59"/>
      <c r="S136" s="59"/>
      <c r="T136" s="59"/>
      <c r="U136" s="59"/>
      <c r="V136" s="59"/>
      <c r="W136" s="59"/>
      <c r="X136" s="59"/>
      <c r="Y136" s="59"/>
      <c r="Z136" s="59"/>
      <c r="AA136" s="59"/>
      <c r="AB136" s="59"/>
      <c r="AC136" s="59"/>
      <c r="AD136" s="59"/>
      <c r="AE136" s="59"/>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row>
    <row r="137" spans="1:64" ht="12.75">
      <c r="A137" s="66"/>
      <c r="B137" s="66"/>
      <c r="C137" s="66"/>
      <c r="D137" s="66"/>
      <c r="E137" s="66"/>
      <c r="F137" s="66"/>
      <c r="G137" s="66"/>
      <c r="H137" s="66"/>
      <c r="I137" s="66"/>
      <c r="J137" s="66"/>
      <c r="K137" s="66"/>
      <c r="L137" s="66"/>
      <c r="M137" s="66"/>
      <c r="N137" s="59"/>
      <c r="O137" s="59"/>
      <c r="P137" s="59"/>
      <c r="Q137" s="59"/>
      <c r="R137" s="59"/>
      <c r="S137" s="59"/>
      <c r="T137" s="59"/>
      <c r="U137" s="59"/>
      <c r="V137" s="59"/>
      <c r="W137" s="59"/>
      <c r="X137" s="59"/>
      <c r="Y137" s="59"/>
      <c r="Z137" s="59"/>
      <c r="AA137" s="59"/>
      <c r="AB137" s="59"/>
      <c r="AC137" s="59"/>
      <c r="AD137" s="59"/>
      <c r="AE137" s="59"/>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row>
    <row r="138" spans="1:64" ht="12.75">
      <c r="A138" s="66"/>
      <c r="B138" s="66"/>
      <c r="C138" s="66"/>
      <c r="D138" s="66"/>
      <c r="E138" s="66"/>
      <c r="F138" s="66"/>
      <c r="G138" s="66"/>
      <c r="H138" s="66"/>
      <c r="I138" s="66"/>
      <c r="J138" s="66"/>
      <c r="K138" s="66"/>
      <c r="L138" s="66"/>
      <c r="M138" s="66"/>
      <c r="N138" s="59"/>
      <c r="O138" s="59"/>
      <c r="P138" s="59"/>
      <c r="Q138" s="59"/>
      <c r="R138" s="59"/>
      <c r="S138" s="59"/>
      <c r="T138" s="59"/>
      <c r="U138" s="59"/>
      <c r="V138" s="59"/>
      <c r="W138" s="59"/>
      <c r="X138" s="59"/>
      <c r="Y138" s="59"/>
      <c r="Z138" s="59"/>
      <c r="AA138" s="59"/>
      <c r="AB138" s="59"/>
      <c r="AC138" s="59"/>
      <c r="AD138" s="59"/>
      <c r="AE138" s="59"/>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row>
    <row r="139" spans="1:64" ht="12.75">
      <c r="A139" s="66"/>
      <c r="B139" s="66"/>
      <c r="C139" s="66"/>
      <c r="D139" s="66"/>
      <c r="E139" s="66"/>
      <c r="F139" s="66"/>
      <c r="G139" s="66"/>
      <c r="H139" s="66"/>
      <c r="I139" s="66"/>
      <c r="J139" s="66"/>
      <c r="K139" s="66"/>
      <c r="L139" s="66"/>
      <c r="M139" s="66"/>
      <c r="N139" s="59"/>
      <c r="O139" s="59"/>
      <c r="P139" s="59"/>
      <c r="Q139" s="59"/>
      <c r="R139" s="59"/>
      <c r="S139" s="59"/>
      <c r="T139" s="59"/>
      <c r="U139" s="59"/>
      <c r="V139" s="59"/>
      <c r="W139" s="59"/>
      <c r="X139" s="59"/>
      <c r="Y139" s="59"/>
      <c r="Z139" s="59"/>
      <c r="AA139" s="59"/>
      <c r="AB139" s="59"/>
      <c r="AC139" s="59"/>
      <c r="AD139" s="59"/>
      <c r="AE139" s="59"/>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row>
    <row r="140" spans="1:64" ht="12.75">
      <c r="A140" s="66"/>
      <c r="B140" s="66"/>
      <c r="C140" s="66"/>
      <c r="D140" s="66"/>
      <c r="E140" s="66"/>
      <c r="F140" s="66"/>
      <c r="G140" s="66"/>
      <c r="H140" s="66"/>
      <c r="I140" s="66"/>
      <c r="J140" s="66"/>
      <c r="K140" s="66"/>
      <c r="L140" s="66"/>
      <c r="M140" s="66"/>
      <c r="N140" s="59"/>
      <c r="O140" s="59"/>
      <c r="P140" s="59"/>
      <c r="Q140" s="59"/>
      <c r="R140" s="59"/>
      <c r="S140" s="59"/>
      <c r="T140" s="59"/>
      <c r="U140" s="59"/>
      <c r="V140" s="59"/>
      <c r="W140" s="59"/>
      <c r="X140" s="59"/>
      <c r="Y140" s="59"/>
      <c r="Z140" s="59"/>
      <c r="AA140" s="59"/>
      <c r="AB140" s="59"/>
      <c r="AC140" s="59"/>
      <c r="AD140" s="59"/>
      <c r="AE140" s="59"/>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row>
    <row r="141" spans="1:64" ht="12.75">
      <c r="A141" s="66"/>
      <c r="B141" s="66"/>
      <c r="C141" s="66"/>
      <c r="D141" s="66"/>
      <c r="E141" s="66"/>
      <c r="F141" s="66"/>
      <c r="G141" s="66"/>
      <c r="H141" s="66"/>
      <c r="I141" s="66"/>
      <c r="J141" s="66"/>
      <c r="K141" s="66"/>
      <c r="L141" s="66"/>
      <c r="M141" s="66"/>
      <c r="N141" s="59"/>
      <c r="O141" s="59"/>
      <c r="P141" s="59"/>
      <c r="Q141" s="59"/>
      <c r="R141" s="59"/>
      <c r="S141" s="59"/>
      <c r="T141" s="59"/>
      <c r="U141" s="59"/>
      <c r="V141" s="59"/>
      <c r="W141" s="59"/>
      <c r="X141" s="59"/>
      <c r="Y141" s="59"/>
      <c r="Z141" s="59"/>
      <c r="AA141" s="59"/>
      <c r="AB141" s="59"/>
      <c r="AC141" s="59"/>
      <c r="AD141" s="59"/>
      <c r="AE141" s="59"/>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row>
    <row r="142" spans="1:64" ht="12.75">
      <c r="A142" s="66"/>
      <c r="B142" s="66"/>
      <c r="C142" s="66"/>
      <c r="D142" s="66"/>
      <c r="E142" s="66"/>
      <c r="F142" s="66"/>
      <c r="G142" s="66"/>
      <c r="H142" s="66"/>
      <c r="I142" s="66"/>
      <c r="J142" s="66"/>
      <c r="K142" s="66"/>
      <c r="L142" s="66"/>
      <c r="M142" s="66"/>
      <c r="N142" s="59"/>
      <c r="O142" s="59"/>
      <c r="P142" s="59"/>
      <c r="Q142" s="59"/>
      <c r="R142" s="59"/>
      <c r="S142" s="59"/>
      <c r="T142" s="59"/>
      <c r="U142" s="59"/>
      <c r="V142" s="59"/>
      <c r="W142" s="59"/>
      <c r="X142" s="59"/>
      <c r="Y142" s="59"/>
      <c r="Z142" s="59"/>
      <c r="AA142" s="59"/>
      <c r="AB142" s="59"/>
      <c r="AC142" s="59"/>
      <c r="AD142" s="59"/>
      <c r="AE142" s="59"/>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row>
    <row r="143" spans="1:64" ht="12.75">
      <c r="A143" s="66"/>
      <c r="B143" s="66"/>
      <c r="C143" s="66"/>
      <c r="D143" s="66"/>
      <c r="E143" s="66"/>
      <c r="F143" s="66"/>
      <c r="G143" s="66"/>
      <c r="H143" s="66"/>
      <c r="I143" s="66"/>
      <c r="J143" s="66"/>
      <c r="K143" s="66"/>
      <c r="L143" s="66"/>
      <c r="M143" s="66"/>
      <c r="N143" s="59"/>
      <c r="O143" s="59"/>
      <c r="P143" s="59"/>
      <c r="Q143" s="59"/>
      <c r="R143" s="59"/>
      <c r="S143" s="59"/>
      <c r="T143" s="59"/>
      <c r="U143" s="59"/>
      <c r="V143" s="59"/>
      <c r="W143" s="59"/>
      <c r="X143" s="59"/>
      <c r="Y143" s="59"/>
      <c r="Z143" s="59"/>
      <c r="AA143" s="59"/>
      <c r="AB143" s="59"/>
      <c r="AC143" s="59"/>
      <c r="AD143" s="59"/>
      <c r="AE143" s="59"/>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row>
    <row r="144" spans="1:64" ht="12.75">
      <c r="A144" s="66"/>
      <c r="B144" s="66"/>
      <c r="C144" s="66"/>
      <c r="D144" s="66"/>
      <c r="E144" s="66"/>
      <c r="F144" s="66"/>
      <c r="G144" s="66"/>
      <c r="H144" s="66"/>
      <c r="I144" s="66"/>
      <c r="J144" s="66"/>
      <c r="K144" s="66"/>
      <c r="L144" s="66"/>
      <c r="M144" s="66"/>
      <c r="N144" s="59"/>
      <c r="O144" s="59"/>
      <c r="P144" s="59"/>
      <c r="Q144" s="59"/>
      <c r="R144" s="59"/>
      <c r="S144" s="59"/>
      <c r="T144" s="59"/>
      <c r="U144" s="59"/>
      <c r="V144" s="59"/>
      <c r="W144" s="59"/>
      <c r="X144" s="59"/>
      <c r="Y144" s="59"/>
      <c r="Z144" s="59"/>
      <c r="AA144" s="59"/>
      <c r="AB144" s="59"/>
      <c r="AC144" s="59"/>
      <c r="AD144" s="59"/>
      <c r="AE144" s="59"/>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row>
    <row r="145" spans="1:64" ht="12.75">
      <c r="A145" s="66"/>
      <c r="B145" s="66"/>
      <c r="C145" s="66"/>
      <c r="D145" s="66"/>
      <c r="E145" s="66"/>
      <c r="F145" s="66"/>
      <c r="G145" s="66"/>
      <c r="H145" s="66"/>
      <c r="I145" s="66"/>
      <c r="J145" s="66"/>
      <c r="K145" s="66"/>
      <c r="L145" s="66"/>
      <c r="M145" s="66"/>
      <c r="N145" s="59"/>
      <c r="O145" s="59"/>
      <c r="P145" s="59"/>
      <c r="Q145" s="59"/>
      <c r="R145" s="59"/>
      <c r="S145" s="59"/>
      <c r="T145" s="59"/>
      <c r="U145" s="59"/>
      <c r="V145" s="59"/>
      <c r="W145" s="59"/>
      <c r="X145" s="59"/>
      <c r="Y145" s="59"/>
      <c r="Z145" s="59"/>
      <c r="AA145" s="59"/>
      <c r="AB145" s="59"/>
      <c r="AC145" s="59"/>
      <c r="AD145" s="59"/>
      <c r="AE145" s="59"/>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row>
    <row r="146" spans="1:64" ht="12.75">
      <c r="A146" s="66"/>
      <c r="B146" s="66"/>
      <c r="C146" s="66"/>
      <c r="D146" s="66"/>
      <c r="E146" s="66"/>
      <c r="F146" s="66"/>
      <c r="G146" s="66"/>
      <c r="H146" s="66"/>
      <c r="I146" s="66"/>
      <c r="J146" s="66"/>
      <c r="K146" s="66"/>
      <c r="L146" s="66"/>
      <c r="M146" s="66"/>
      <c r="N146" s="59"/>
      <c r="O146" s="59"/>
      <c r="P146" s="59"/>
      <c r="Q146" s="59"/>
      <c r="R146" s="59"/>
      <c r="S146" s="59"/>
      <c r="T146" s="59"/>
      <c r="U146" s="59"/>
      <c r="V146" s="59"/>
      <c r="W146" s="59"/>
      <c r="X146" s="59"/>
      <c r="Y146" s="59"/>
      <c r="Z146" s="59"/>
      <c r="AA146" s="59"/>
      <c r="AB146" s="59"/>
      <c r="AC146" s="59"/>
      <c r="AD146" s="59"/>
      <c r="AE146" s="59"/>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row>
    <row r="147" spans="1:64" ht="12.75">
      <c r="A147" s="66"/>
      <c r="B147" s="66"/>
      <c r="C147" s="66"/>
      <c r="D147" s="66"/>
      <c r="E147" s="66"/>
      <c r="F147" s="66"/>
      <c r="G147" s="66"/>
      <c r="H147" s="66"/>
      <c r="I147" s="66"/>
      <c r="J147" s="66"/>
      <c r="K147" s="66"/>
      <c r="L147" s="66"/>
      <c r="M147" s="66"/>
      <c r="N147" s="59"/>
      <c r="O147" s="59"/>
      <c r="P147" s="59"/>
      <c r="Q147" s="59"/>
      <c r="R147" s="59"/>
      <c r="S147" s="59"/>
      <c r="T147" s="59"/>
      <c r="U147" s="59"/>
      <c r="V147" s="59"/>
      <c r="W147" s="59"/>
      <c r="X147" s="59"/>
      <c r="Y147" s="59"/>
      <c r="Z147" s="59"/>
      <c r="AA147" s="59"/>
      <c r="AB147" s="59"/>
      <c r="AC147" s="59"/>
      <c r="AD147" s="59"/>
      <c r="AE147" s="59"/>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row>
    <row r="148" spans="1:64" ht="12.75">
      <c r="A148" s="66"/>
      <c r="B148" s="66"/>
      <c r="C148" s="66"/>
      <c r="D148" s="66"/>
      <c r="E148" s="66"/>
      <c r="F148" s="66"/>
      <c r="G148" s="66"/>
      <c r="H148" s="66"/>
      <c r="I148" s="66"/>
      <c r="J148" s="66"/>
      <c r="K148" s="66"/>
      <c r="L148" s="66"/>
      <c r="M148" s="66"/>
      <c r="N148" s="59"/>
      <c r="O148" s="59"/>
      <c r="P148" s="59"/>
      <c r="Q148" s="59"/>
      <c r="R148" s="59"/>
      <c r="S148" s="59"/>
      <c r="T148" s="59"/>
      <c r="U148" s="59"/>
      <c r="V148" s="59"/>
      <c r="W148" s="59"/>
      <c r="X148" s="59"/>
      <c r="Y148" s="59"/>
      <c r="Z148" s="59"/>
      <c r="AA148" s="59"/>
      <c r="AB148" s="59"/>
      <c r="AC148" s="59"/>
      <c r="AD148" s="59"/>
      <c r="AE148" s="59"/>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row>
    <row r="149" spans="1:64" ht="12.75">
      <c r="A149" s="66"/>
      <c r="B149" s="66"/>
      <c r="C149" s="66"/>
      <c r="D149" s="66"/>
      <c r="E149" s="66"/>
      <c r="F149" s="66"/>
      <c r="G149" s="66"/>
      <c r="H149" s="66"/>
      <c r="I149" s="66"/>
      <c r="J149" s="66"/>
      <c r="K149" s="66"/>
      <c r="L149" s="66"/>
      <c r="M149" s="66"/>
      <c r="N149" s="59"/>
      <c r="O149" s="59"/>
      <c r="P149" s="59"/>
      <c r="Q149" s="59"/>
      <c r="R149" s="59"/>
      <c r="S149" s="59"/>
      <c r="T149" s="59"/>
      <c r="U149" s="59"/>
      <c r="V149" s="59"/>
      <c r="W149" s="59"/>
      <c r="X149" s="59"/>
      <c r="Y149" s="59"/>
      <c r="Z149" s="59"/>
      <c r="AA149" s="59"/>
      <c r="AB149" s="59"/>
      <c r="AC149" s="59"/>
      <c r="AD149" s="59"/>
      <c r="AE149" s="59"/>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row>
    <row r="150" spans="1:64" ht="12.75">
      <c r="A150" s="7"/>
      <c r="B150" s="7"/>
      <c r="C150" s="7"/>
      <c r="D150" s="7"/>
      <c r="E150" s="7"/>
      <c r="F150" s="7"/>
      <c r="G150" s="7"/>
      <c r="H150" s="7"/>
      <c r="I150" s="7"/>
      <c r="J150" s="7"/>
      <c r="K150" s="7"/>
      <c r="L150" s="7"/>
      <c r="M150" s="7"/>
      <c r="N150" s="59"/>
      <c r="O150" s="59"/>
      <c r="P150" s="59"/>
      <c r="Q150" s="59"/>
      <c r="R150" s="59"/>
      <c r="S150" s="59"/>
      <c r="T150" s="59"/>
      <c r="U150" s="59"/>
      <c r="V150" s="59"/>
      <c r="W150" s="59"/>
      <c r="X150" s="59"/>
      <c r="Y150" s="59"/>
      <c r="Z150" s="59"/>
      <c r="AA150" s="59"/>
      <c r="AB150" s="59"/>
      <c r="AC150" s="59"/>
      <c r="AD150" s="59"/>
      <c r="AE150" s="59"/>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row>
    <row r="151" spans="1:64" ht="12.75">
      <c r="A151" s="7"/>
      <c r="B151" s="7"/>
      <c r="C151" s="7"/>
      <c r="D151" s="7"/>
      <c r="E151" s="7"/>
      <c r="F151" s="7"/>
      <c r="G151" s="7"/>
      <c r="H151" s="7"/>
      <c r="I151" s="7"/>
      <c r="J151" s="7"/>
      <c r="K151" s="7"/>
      <c r="L151" s="7"/>
      <c r="M151" s="7"/>
      <c r="N151" s="59"/>
      <c r="O151" s="59"/>
      <c r="P151" s="59"/>
      <c r="Q151" s="59"/>
      <c r="R151" s="59"/>
      <c r="S151" s="59"/>
      <c r="T151" s="59"/>
      <c r="U151" s="59"/>
      <c r="V151" s="59"/>
      <c r="W151" s="59"/>
      <c r="X151" s="59"/>
      <c r="Y151" s="59"/>
      <c r="Z151" s="59"/>
      <c r="AA151" s="59"/>
      <c r="AB151" s="59"/>
      <c r="AC151" s="59"/>
      <c r="AD151" s="59"/>
      <c r="AE151" s="59"/>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row>
    <row r="152" spans="1:64" ht="12.75">
      <c r="A152" s="7"/>
      <c r="B152" s="7"/>
      <c r="C152" s="7"/>
      <c r="D152" s="7"/>
      <c r="E152" s="7"/>
      <c r="F152" s="7"/>
      <c r="G152" s="7"/>
      <c r="H152" s="7"/>
      <c r="I152" s="7"/>
      <c r="J152" s="7"/>
      <c r="K152" s="7"/>
      <c r="L152" s="7"/>
      <c r="M152" s="7"/>
      <c r="N152" s="59"/>
      <c r="O152" s="59"/>
      <c r="P152" s="59"/>
      <c r="Q152" s="59"/>
      <c r="R152" s="59"/>
      <c r="S152" s="59"/>
      <c r="T152" s="59"/>
      <c r="U152" s="59"/>
      <c r="V152" s="59"/>
      <c r="W152" s="59"/>
      <c r="X152" s="59"/>
      <c r="Y152" s="59"/>
      <c r="Z152" s="59"/>
      <c r="AA152" s="59"/>
      <c r="AB152" s="59"/>
      <c r="AC152" s="59"/>
      <c r="AD152" s="59"/>
      <c r="AE152" s="59"/>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row>
    <row r="153" spans="1:64" ht="12.75">
      <c r="A153" s="7"/>
      <c r="B153" s="7"/>
      <c r="C153" s="7"/>
      <c r="D153" s="7"/>
      <c r="E153" s="7"/>
      <c r="F153" s="7"/>
      <c r="G153" s="7"/>
      <c r="H153" s="7"/>
      <c r="I153" s="7"/>
      <c r="J153" s="7"/>
      <c r="K153" s="7"/>
      <c r="L153" s="7"/>
      <c r="M153" s="7"/>
      <c r="N153" s="59"/>
      <c r="O153" s="59"/>
      <c r="P153" s="59"/>
      <c r="Q153" s="59"/>
      <c r="R153" s="59"/>
      <c r="S153" s="59"/>
      <c r="T153" s="59"/>
      <c r="U153" s="59"/>
      <c r="V153" s="59"/>
      <c r="W153" s="59"/>
      <c r="X153" s="59"/>
      <c r="Y153" s="59"/>
      <c r="Z153" s="59"/>
      <c r="AA153" s="59"/>
      <c r="AB153" s="59"/>
      <c r="AC153" s="59"/>
      <c r="AD153" s="59"/>
      <c r="AE153" s="59"/>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row>
    <row r="154" spans="1:64" ht="12.75">
      <c r="A154" s="7"/>
      <c r="B154" s="7"/>
      <c r="C154" s="7"/>
      <c r="D154" s="7"/>
      <c r="E154" s="7"/>
      <c r="F154" s="7"/>
      <c r="G154" s="7"/>
      <c r="H154" s="7"/>
      <c r="I154" s="7"/>
      <c r="J154" s="7"/>
      <c r="K154" s="7"/>
      <c r="L154" s="7"/>
      <c r="M154" s="7"/>
      <c r="N154" s="59"/>
      <c r="O154" s="59"/>
      <c r="P154" s="59"/>
      <c r="Q154" s="59"/>
      <c r="R154" s="59"/>
      <c r="S154" s="59"/>
      <c r="T154" s="59"/>
      <c r="U154" s="59"/>
      <c r="V154" s="59"/>
      <c r="W154" s="59"/>
      <c r="X154" s="59"/>
      <c r="Y154" s="59"/>
      <c r="Z154" s="59"/>
      <c r="AA154" s="59"/>
      <c r="AB154" s="59"/>
      <c r="AC154" s="59"/>
      <c r="AD154" s="59"/>
      <c r="AE154" s="59"/>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row>
    <row r="155" spans="1:64" ht="12.75">
      <c r="A155" s="7"/>
      <c r="B155" s="7"/>
      <c r="C155" s="7"/>
      <c r="D155" s="7"/>
      <c r="E155" s="7"/>
      <c r="F155" s="7"/>
      <c r="G155" s="7"/>
      <c r="H155" s="7"/>
      <c r="I155" s="7"/>
      <c r="J155" s="7"/>
      <c r="K155" s="7"/>
      <c r="L155" s="7"/>
      <c r="M155" s="7"/>
      <c r="N155" s="59"/>
      <c r="O155" s="59"/>
      <c r="P155" s="59"/>
      <c r="Q155" s="59"/>
      <c r="R155" s="59"/>
      <c r="S155" s="59"/>
      <c r="T155" s="59"/>
      <c r="U155" s="59"/>
      <c r="V155" s="59"/>
      <c r="W155" s="59"/>
      <c r="X155" s="59"/>
      <c r="Y155" s="59"/>
      <c r="Z155" s="59"/>
      <c r="AA155" s="59"/>
      <c r="AB155" s="59"/>
      <c r="AC155" s="59"/>
      <c r="AD155" s="59"/>
      <c r="AE155" s="59"/>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row>
    <row r="156" spans="1:64" ht="12.75">
      <c r="A156" s="7"/>
      <c r="B156" s="7"/>
      <c r="C156" s="7"/>
      <c r="D156" s="7"/>
      <c r="E156" s="7"/>
      <c r="F156" s="7"/>
      <c r="G156" s="7"/>
      <c r="H156" s="7"/>
      <c r="I156" s="7"/>
      <c r="J156" s="7"/>
      <c r="K156" s="7"/>
      <c r="L156" s="7"/>
      <c r="M156" s="7"/>
      <c r="N156" s="59"/>
      <c r="O156" s="59"/>
      <c r="P156" s="59"/>
      <c r="Q156" s="59"/>
      <c r="R156" s="59"/>
      <c r="S156" s="59"/>
      <c r="T156" s="59"/>
      <c r="U156" s="59"/>
      <c r="V156" s="59"/>
      <c r="W156" s="59"/>
      <c r="X156" s="59"/>
      <c r="Y156" s="59"/>
      <c r="Z156" s="59"/>
      <c r="AA156" s="59"/>
      <c r="AB156" s="59"/>
      <c r="AC156" s="59"/>
      <c r="AD156" s="59"/>
      <c r="AE156" s="59"/>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row>
    <row r="157" spans="1:64" ht="12.75">
      <c r="A157" s="7"/>
      <c r="B157" s="7"/>
      <c r="C157" s="7"/>
      <c r="D157" s="7"/>
      <c r="E157" s="7"/>
      <c r="F157" s="7"/>
      <c r="G157" s="7"/>
      <c r="H157" s="7"/>
      <c r="I157" s="7"/>
      <c r="J157" s="7"/>
      <c r="K157" s="7"/>
      <c r="L157" s="7"/>
      <c r="M157" s="7"/>
      <c r="N157" s="59"/>
      <c r="O157" s="59"/>
      <c r="P157" s="59"/>
      <c r="Q157" s="59"/>
      <c r="R157" s="59"/>
      <c r="S157" s="59"/>
      <c r="T157" s="59"/>
      <c r="U157" s="59"/>
      <c r="V157" s="59"/>
      <c r="W157" s="59"/>
      <c r="X157" s="59"/>
      <c r="Y157" s="59"/>
      <c r="Z157" s="59"/>
      <c r="AA157" s="59"/>
      <c r="AB157" s="59"/>
      <c r="AC157" s="59"/>
      <c r="AD157" s="59"/>
      <c r="AE157" s="59"/>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row>
    <row r="158" spans="1:64" ht="12.75">
      <c r="A158" s="7"/>
      <c r="B158" s="7"/>
      <c r="C158" s="7"/>
      <c r="D158" s="7"/>
      <c r="E158" s="7"/>
      <c r="F158" s="7"/>
      <c r="G158" s="7"/>
      <c r="H158" s="7"/>
      <c r="I158" s="7"/>
      <c r="J158" s="7"/>
      <c r="K158" s="7"/>
      <c r="L158" s="7"/>
      <c r="M158" s="7"/>
      <c r="N158" s="59"/>
      <c r="O158" s="59"/>
      <c r="P158" s="59"/>
      <c r="Q158" s="59"/>
      <c r="R158" s="59"/>
      <c r="S158" s="59"/>
      <c r="T158" s="59"/>
      <c r="U158" s="59"/>
      <c r="V158" s="59"/>
      <c r="W158" s="59"/>
      <c r="X158" s="59"/>
      <c r="Y158" s="59"/>
      <c r="Z158" s="59"/>
      <c r="AA158" s="59"/>
      <c r="AB158" s="59"/>
      <c r="AC158" s="59"/>
      <c r="AD158" s="59"/>
      <c r="AE158" s="59"/>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row>
    <row r="159" spans="1:64" ht="12.75">
      <c r="A159" s="7"/>
      <c r="B159" s="7"/>
      <c r="C159" s="7"/>
      <c r="D159" s="7"/>
      <c r="E159" s="7"/>
      <c r="F159" s="7"/>
      <c r="G159" s="7"/>
      <c r="H159" s="7"/>
      <c r="I159" s="7"/>
      <c r="J159" s="7"/>
      <c r="K159" s="7"/>
      <c r="L159" s="7"/>
      <c r="M159" s="7"/>
      <c r="N159" s="59"/>
      <c r="O159" s="59"/>
      <c r="P159" s="59"/>
      <c r="Q159" s="59"/>
      <c r="R159" s="59"/>
      <c r="S159" s="59"/>
      <c r="T159" s="59"/>
      <c r="U159" s="59"/>
      <c r="V159" s="59"/>
      <c r="W159" s="59"/>
      <c r="X159" s="59"/>
      <c r="Y159" s="59"/>
      <c r="Z159" s="59"/>
      <c r="AA159" s="59"/>
      <c r="AB159" s="59"/>
      <c r="AC159" s="59"/>
      <c r="AD159" s="59"/>
      <c r="AE159" s="59"/>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row>
    <row r="160" spans="1:64" ht="12.75">
      <c r="A160" s="7"/>
      <c r="B160" s="7"/>
      <c r="C160" s="7"/>
      <c r="D160" s="7"/>
      <c r="E160" s="7"/>
      <c r="F160" s="7"/>
      <c r="G160" s="7"/>
      <c r="H160" s="7"/>
      <c r="I160" s="7"/>
      <c r="J160" s="7"/>
      <c r="K160" s="7"/>
      <c r="L160" s="7"/>
      <c r="M160" s="7"/>
      <c r="N160" s="59"/>
      <c r="O160" s="59"/>
      <c r="P160" s="59"/>
      <c r="Q160" s="59"/>
      <c r="R160" s="59"/>
      <c r="S160" s="59"/>
      <c r="T160" s="59"/>
      <c r="U160" s="59"/>
      <c r="V160" s="59"/>
      <c r="W160" s="59"/>
      <c r="X160" s="59"/>
      <c r="Y160" s="59"/>
      <c r="Z160" s="59"/>
      <c r="AA160" s="59"/>
      <c r="AB160" s="59"/>
      <c r="AC160" s="59"/>
      <c r="AD160" s="59"/>
      <c r="AE160" s="59"/>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row>
    <row r="161" spans="1:64" ht="12.75">
      <c r="A161" s="7"/>
      <c r="B161" s="7"/>
      <c r="C161" s="7"/>
      <c r="D161" s="7"/>
      <c r="E161" s="7"/>
      <c r="F161" s="7"/>
      <c r="G161" s="7"/>
      <c r="H161" s="7"/>
      <c r="I161" s="7"/>
      <c r="J161" s="7"/>
      <c r="K161" s="7"/>
      <c r="L161" s="7"/>
      <c r="M161" s="7"/>
      <c r="N161" s="59"/>
      <c r="O161" s="59"/>
      <c r="P161" s="59"/>
      <c r="Q161" s="59"/>
      <c r="R161" s="59"/>
      <c r="S161" s="59"/>
      <c r="T161" s="59"/>
      <c r="U161" s="59"/>
      <c r="V161" s="59"/>
      <c r="W161" s="59"/>
      <c r="X161" s="59"/>
      <c r="Y161" s="59"/>
      <c r="Z161" s="59"/>
      <c r="AA161" s="59"/>
      <c r="AB161" s="59"/>
      <c r="AC161" s="59"/>
      <c r="AD161" s="59"/>
      <c r="AE161" s="59"/>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row>
    <row r="162" spans="1:64" ht="12.75">
      <c r="A162" s="7"/>
      <c r="B162" s="7"/>
      <c r="C162" s="7"/>
      <c r="D162" s="7"/>
      <c r="E162" s="7"/>
      <c r="F162" s="7"/>
      <c r="G162" s="7"/>
      <c r="H162" s="7"/>
      <c r="I162" s="7"/>
      <c r="J162" s="7"/>
      <c r="K162" s="7"/>
      <c r="L162" s="7"/>
      <c r="M162" s="7"/>
      <c r="N162" s="59"/>
      <c r="O162" s="59"/>
      <c r="P162" s="59"/>
      <c r="Q162" s="59"/>
      <c r="R162" s="59"/>
      <c r="S162" s="59"/>
      <c r="T162" s="59"/>
      <c r="U162" s="59"/>
      <c r="V162" s="59"/>
      <c r="W162" s="59"/>
      <c r="X162" s="59"/>
      <c r="Y162" s="59"/>
      <c r="Z162" s="59"/>
      <c r="AA162" s="59"/>
      <c r="AB162" s="59"/>
      <c r="AC162" s="59"/>
      <c r="AD162" s="59"/>
      <c r="AE162" s="59"/>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row>
    <row r="163" spans="1:64" ht="12.75">
      <c r="A163" s="7"/>
      <c r="B163" s="7"/>
      <c r="C163" s="7"/>
      <c r="D163" s="7"/>
      <c r="E163" s="7"/>
      <c r="F163" s="7"/>
      <c r="G163" s="7"/>
      <c r="H163" s="7"/>
      <c r="I163" s="7"/>
      <c r="J163" s="7"/>
      <c r="K163" s="7"/>
      <c r="L163" s="7"/>
      <c r="M163" s="7"/>
      <c r="N163" s="59"/>
      <c r="O163" s="59"/>
      <c r="P163" s="59"/>
      <c r="Q163" s="59"/>
      <c r="R163" s="59"/>
      <c r="S163" s="59"/>
      <c r="T163" s="59"/>
      <c r="U163" s="59"/>
      <c r="V163" s="59"/>
      <c r="W163" s="59"/>
      <c r="X163" s="59"/>
      <c r="Y163" s="59"/>
      <c r="Z163" s="59"/>
      <c r="AA163" s="59"/>
      <c r="AB163" s="59"/>
      <c r="AC163" s="59"/>
      <c r="AD163" s="59"/>
      <c r="AE163" s="59"/>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row>
    <row r="164" spans="1:64" ht="12.75">
      <c r="A164" s="7"/>
      <c r="B164" s="7"/>
      <c r="C164" s="7"/>
      <c r="D164" s="7"/>
      <c r="E164" s="7"/>
      <c r="F164" s="7"/>
      <c r="G164" s="7"/>
      <c r="H164" s="7"/>
      <c r="I164" s="7"/>
      <c r="J164" s="7"/>
      <c r="K164" s="7"/>
      <c r="L164" s="7"/>
      <c r="M164" s="7"/>
      <c r="N164" s="59"/>
      <c r="O164" s="59"/>
      <c r="P164" s="59"/>
      <c r="Q164" s="59"/>
      <c r="R164" s="59"/>
      <c r="S164" s="59"/>
      <c r="T164" s="59"/>
      <c r="U164" s="59"/>
      <c r="V164" s="59"/>
      <c r="W164" s="59"/>
      <c r="X164" s="59"/>
      <c r="Y164" s="59"/>
      <c r="Z164" s="59"/>
      <c r="AA164" s="59"/>
      <c r="AB164" s="59"/>
      <c r="AC164" s="59"/>
      <c r="AD164" s="59"/>
      <c r="AE164" s="59"/>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row>
    <row r="165" spans="1:64" ht="12.75">
      <c r="A165" s="7"/>
      <c r="B165" s="7"/>
      <c r="C165" s="7"/>
      <c r="D165" s="7"/>
      <c r="E165" s="7"/>
      <c r="F165" s="7"/>
      <c r="G165" s="7"/>
      <c r="H165" s="7"/>
      <c r="I165" s="7"/>
      <c r="J165" s="7"/>
      <c r="K165" s="7"/>
      <c r="L165" s="7"/>
      <c r="M165" s="7"/>
      <c r="N165" s="59"/>
      <c r="O165" s="59"/>
      <c r="P165" s="59"/>
      <c r="Q165" s="59"/>
      <c r="R165" s="59"/>
      <c r="S165" s="59"/>
      <c r="T165" s="59"/>
      <c r="U165" s="59"/>
      <c r="V165" s="59"/>
      <c r="W165" s="59"/>
      <c r="X165" s="59"/>
      <c r="Y165" s="59"/>
      <c r="Z165" s="59"/>
      <c r="AA165" s="59"/>
      <c r="AB165" s="59"/>
      <c r="AC165" s="59"/>
      <c r="AD165" s="59"/>
      <c r="AE165" s="59"/>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row>
    <row r="166" spans="1:64" ht="12.75">
      <c r="A166" s="7"/>
      <c r="B166" s="7"/>
      <c r="C166" s="7"/>
      <c r="D166" s="7"/>
      <c r="E166" s="7"/>
      <c r="F166" s="7"/>
      <c r="G166" s="7"/>
      <c r="H166" s="7"/>
      <c r="I166" s="7"/>
      <c r="J166" s="7"/>
      <c r="K166" s="7"/>
      <c r="L166" s="7"/>
      <c r="M166" s="7"/>
      <c r="N166" s="59"/>
      <c r="O166" s="59"/>
      <c r="P166" s="59"/>
      <c r="Q166" s="59"/>
      <c r="R166" s="59"/>
      <c r="S166" s="59"/>
      <c r="T166" s="59"/>
      <c r="U166" s="59"/>
      <c r="V166" s="59"/>
      <c r="W166" s="59"/>
      <c r="X166" s="59"/>
      <c r="Y166" s="59"/>
      <c r="Z166" s="59"/>
      <c r="AA166" s="59"/>
      <c r="AB166" s="59"/>
      <c r="AC166" s="59"/>
      <c r="AD166" s="59"/>
      <c r="AE166" s="59"/>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row>
    <row r="167" spans="1:64" ht="12.75">
      <c r="A167" s="7"/>
      <c r="B167" s="7"/>
      <c r="C167" s="7"/>
      <c r="D167" s="7"/>
      <c r="E167" s="7"/>
      <c r="F167" s="7"/>
      <c r="G167" s="7"/>
      <c r="H167" s="7"/>
      <c r="I167" s="7"/>
      <c r="J167" s="7"/>
      <c r="K167" s="7"/>
      <c r="L167" s="7"/>
      <c r="M167" s="7"/>
      <c r="N167" s="59"/>
      <c r="O167" s="59"/>
      <c r="P167" s="59"/>
      <c r="Q167" s="59"/>
      <c r="R167" s="59"/>
      <c r="S167" s="59"/>
      <c r="T167" s="59"/>
      <c r="U167" s="59"/>
      <c r="V167" s="59"/>
      <c r="W167" s="59"/>
      <c r="X167" s="59"/>
      <c r="Y167" s="59"/>
      <c r="Z167" s="59"/>
      <c r="AA167" s="59"/>
      <c r="AB167" s="59"/>
      <c r="AC167" s="59"/>
      <c r="AD167" s="59"/>
      <c r="AE167" s="59"/>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row>
    <row r="168" spans="1:64" ht="12.75">
      <c r="A168" s="7"/>
      <c r="B168" s="7"/>
      <c r="C168" s="7"/>
      <c r="D168" s="7"/>
      <c r="E168" s="7"/>
      <c r="F168" s="7"/>
      <c r="G168" s="7"/>
      <c r="H168" s="7"/>
      <c r="I168" s="7"/>
      <c r="J168" s="7"/>
      <c r="K168" s="7"/>
      <c r="L168" s="7"/>
      <c r="M168" s="7"/>
      <c r="N168" s="59"/>
      <c r="O168" s="59"/>
      <c r="P168" s="59"/>
      <c r="Q168" s="59"/>
      <c r="R168" s="59"/>
      <c r="S168" s="59"/>
      <c r="T168" s="59"/>
      <c r="U168" s="59"/>
      <c r="V168" s="59"/>
      <c r="W168" s="59"/>
      <c r="X168" s="59"/>
      <c r="Y168" s="59"/>
      <c r="Z168" s="59"/>
      <c r="AA168" s="59"/>
      <c r="AB168" s="59"/>
      <c r="AC168" s="59"/>
      <c r="AD168" s="59"/>
      <c r="AE168" s="59"/>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row>
    <row r="169" spans="1:64" ht="12.75">
      <c r="A169" s="7"/>
      <c r="B169" s="7"/>
      <c r="C169" s="7"/>
      <c r="D169" s="7"/>
      <c r="E169" s="7"/>
      <c r="F169" s="7"/>
      <c r="G169" s="7"/>
      <c r="H169" s="7"/>
      <c r="I169" s="7"/>
      <c r="J169" s="7"/>
      <c r="K169" s="7"/>
      <c r="L169" s="7"/>
      <c r="M169" s="7"/>
      <c r="N169" s="59"/>
      <c r="O169" s="59"/>
      <c r="P169" s="59"/>
      <c r="Q169" s="59"/>
      <c r="R169" s="59"/>
      <c r="S169" s="59"/>
      <c r="T169" s="59"/>
      <c r="U169" s="59"/>
      <c r="V169" s="59"/>
      <c r="W169" s="59"/>
      <c r="X169" s="59"/>
      <c r="Y169" s="59"/>
      <c r="Z169" s="59"/>
      <c r="AA169" s="59"/>
      <c r="AB169" s="59"/>
      <c r="AC169" s="59"/>
      <c r="AD169" s="59"/>
      <c r="AE169" s="59"/>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row>
    <row r="170" spans="1:64" ht="12.75">
      <c r="A170" s="7"/>
      <c r="B170" s="7"/>
      <c r="C170" s="7"/>
      <c r="D170" s="7"/>
      <c r="E170" s="7"/>
      <c r="F170" s="7"/>
      <c r="G170" s="7"/>
      <c r="H170" s="7"/>
      <c r="I170" s="7"/>
      <c r="J170" s="7"/>
      <c r="K170" s="7"/>
      <c r="L170" s="7"/>
      <c r="M170" s="7"/>
      <c r="N170" s="59"/>
      <c r="O170" s="59"/>
      <c r="P170" s="59"/>
      <c r="Q170" s="59"/>
      <c r="R170" s="59"/>
      <c r="S170" s="59"/>
      <c r="T170" s="59"/>
      <c r="U170" s="59"/>
      <c r="V170" s="59"/>
      <c r="W170" s="59"/>
      <c r="X170" s="59"/>
      <c r="Y170" s="59"/>
      <c r="Z170" s="59"/>
      <c r="AA170" s="59"/>
      <c r="AB170" s="59"/>
      <c r="AC170" s="59"/>
      <c r="AD170" s="59"/>
      <c r="AE170" s="59"/>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row>
    <row r="171" spans="1:64" ht="12.75">
      <c r="A171" s="7"/>
      <c r="B171" s="7"/>
      <c r="C171" s="7"/>
      <c r="D171" s="7"/>
      <c r="E171" s="7"/>
      <c r="F171" s="7"/>
      <c r="G171" s="7"/>
      <c r="H171" s="7"/>
      <c r="I171" s="7"/>
      <c r="J171" s="7"/>
      <c r="K171" s="7"/>
      <c r="L171" s="7"/>
      <c r="M171" s="7"/>
      <c r="N171" s="59"/>
      <c r="O171" s="59"/>
      <c r="P171" s="59"/>
      <c r="Q171" s="59"/>
      <c r="R171" s="59"/>
      <c r="S171" s="59"/>
      <c r="T171" s="59"/>
      <c r="U171" s="59"/>
      <c r="V171" s="59"/>
      <c r="W171" s="59"/>
      <c r="X171" s="59"/>
      <c r="Y171" s="59"/>
      <c r="Z171" s="59"/>
      <c r="AA171" s="59"/>
      <c r="AB171" s="59"/>
      <c r="AC171" s="59"/>
      <c r="AD171" s="59"/>
      <c r="AE171" s="59"/>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row>
    <row r="172" spans="1:64" ht="12.75">
      <c r="A172" s="7"/>
      <c r="B172" s="7"/>
      <c r="C172" s="7"/>
      <c r="D172" s="7"/>
      <c r="E172" s="7"/>
      <c r="F172" s="7"/>
      <c r="G172" s="7"/>
      <c r="H172" s="7"/>
      <c r="I172" s="7"/>
      <c r="J172" s="7"/>
      <c r="K172" s="7"/>
      <c r="L172" s="7"/>
      <c r="M172" s="7"/>
      <c r="N172" s="59"/>
      <c r="O172" s="59"/>
      <c r="P172" s="59"/>
      <c r="Q172" s="59"/>
      <c r="R172" s="59"/>
      <c r="S172" s="59"/>
      <c r="T172" s="59"/>
      <c r="U172" s="59"/>
      <c r="V172" s="59"/>
      <c r="W172" s="59"/>
      <c r="X172" s="59"/>
      <c r="Y172" s="59"/>
      <c r="Z172" s="59"/>
      <c r="AA172" s="59"/>
      <c r="AB172" s="59"/>
      <c r="AC172" s="59"/>
      <c r="AD172" s="59"/>
      <c r="AE172" s="59"/>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row>
    <row r="173" spans="1:64" ht="12.75">
      <c r="A173" s="7"/>
      <c r="B173" s="7"/>
      <c r="C173" s="7"/>
      <c r="D173" s="7"/>
      <c r="E173" s="7"/>
      <c r="F173" s="7"/>
      <c r="G173" s="7"/>
      <c r="H173" s="7"/>
      <c r="I173" s="7"/>
      <c r="J173" s="7"/>
      <c r="K173" s="7"/>
      <c r="L173" s="7"/>
      <c r="M173" s="7"/>
      <c r="N173" s="59"/>
      <c r="O173" s="59"/>
      <c r="P173" s="59"/>
      <c r="Q173" s="59"/>
      <c r="R173" s="59"/>
      <c r="S173" s="59"/>
      <c r="T173" s="59"/>
      <c r="U173" s="59"/>
      <c r="V173" s="59"/>
      <c r="W173" s="59"/>
      <c r="X173" s="59"/>
      <c r="Y173" s="59"/>
      <c r="Z173" s="59"/>
      <c r="AA173" s="59"/>
      <c r="AB173" s="59"/>
      <c r="AC173" s="59"/>
      <c r="AD173" s="59"/>
      <c r="AE173" s="59"/>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row>
    <row r="174" spans="1:64" ht="12.75">
      <c r="A174" s="7"/>
      <c r="B174" s="7"/>
      <c r="C174" s="7"/>
      <c r="D174" s="7"/>
      <c r="E174" s="7"/>
      <c r="F174" s="7"/>
      <c r="G174" s="7"/>
      <c r="H174" s="7"/>
      <c r="I174" s="7"/>
      <c r="J174" s="7"/>
      <c r="K174" s="7"/>
      <c r="L174" s="7"/>
      <c r="M174" s="7"/>
      <c r="N174" s="59"/>
      <c r="O174" s="59"/>
      <c r="P174" s="59"/>
      <c r="Q174" s="59"/>
      <c r="R174" s="59"/>
      <c r="S174" s="59"/>
      <c r="T174" s="59"/>
      <c r="U174" s="59"/>
      <c r="V174" s="59"/>
      <c r="W174" s="59"/>
      <c r="X174" s="59"/>
      <c r="Y174" s="59"/>
      <c r="Z174" s="59"/>
      <c r="AA174" s="59"/>
      <c r="AB174" s="59"/>
      <c r="AC174" s="59"/>
      <c r="AD174" s="59"/>
      <c r="AE174" s="59"/>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row>
    <row r="175" spans="1:64" ht="12.75">
      <c r="A175" s="7"/>
      <c r="B175" s="7"/>
      <c r="C175" s="7"/>
      <c r="D175" s="7"/>
      <c r="E175" s="7"/>
      <c r="F175" s="7"/>
      <c r="G175" s="7"/>
      <c r="H175" s="7"/>
      <c r="I175" s="7"/>
      <c r="J175" s="7"/>
      <c r="K175" s="7"/>
      <c r="L175" s="7"/>
      <c r="M175" s="7"/>
      <c r="N175" s="59"/>
      <c r="O175" s="59"/>
      <c r="P175" s="59"/>
      <c r="Q175" s="59"/>
      <c r="R175" s="59"/>
      <c r="S175" s="59"/>
      <c r="T175" s="59"/>
      <c r="U175" s="59"/>
      <c r="V175" s="59"/>
      <c r="W175" s="59"/>
      <c r="X175" s="59"/>
      <c r="Y175" s="59"/>
      <c r="Z175" s="59"/>
      <c r="AA175" s="59"/>
      <c r="AB175" s="59"/>
      <c r="AC175" s="59"/>
      <c r="AD175" s="59"/>
      <c r="AE175" s="59"/>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row>
    <row r="176" spans="1:64" ht="12.75">
      <c r="A176" s="7"/>
      <c r="B176" s="7"/>
      <c r="C176" s="7"/>
      <c r="D176" s="7"/>
      <c r="E176" s="7"/>
      <c r="F176" s="7"/>
      <c r="G176" s="7"/>
      <c r="H176" s="7"/>
      <c r="I176" s="7"/>
      <c r="J176" s="7"/>
      <c r="K176" s="7"/>
      <c r="L176" s="7"/>
      <c r="M176" s="7"/>
      <c r="N176" s="59"/>
      <c r="O176" s="59"/>
      <c r="P176" s="59"/>
      <c r="Q176" s="59"/>
      <c r="R176" s="59"/>
      <c r="S176" s="59"/>
      <c r="T176" s="59"/>
      <c r="U176" s="59"/>
      <c r="V176" s="59"/>
      <c r="W176" s="59"/>
      <c r="X176" s="59"/>
      <c r="Y176" s="59"/>
      <c r="Z176" s="59"/>
      <c r="AA176" s="59"/>
      <c r="AB176" s="59"/>
      <c r="AC176" s="59"/>
      <c r="AD176" s="59"/>
      <c r="AE176" s="59"/>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row>
    <row r="177" spans="1:64" ht="12.75">
      <c r="A177" s="7"/>
      <c r="B177" s="7"/>
      <c r="C177" s="7"/>
      <c r="D177" s="7"/>
      <c r="E177" s="7"/>
      <c r="F177" s="7"/>
      <c r="G177" s="7"/>
      <c r="H177" s="7"/>
      <c r="I177" s="7"/>
      <c r="J177" s="7"/>
      <c r="K177" s="7"/>
      <c r="L177" s="7"/>
      <c r="M177" s="7"/>
      <c r="N177" s="59"/>
      <c r="O177" s="59"/>
      <c r="P177" s="59"/>
      <c r="Q177" s="59"/>
      <c r="R177" s="59"/>
      <c r="S177" s="59"/>
      <c r="T177" s="59"/>
      <c r="U177" s="59"/>
      <c r="V177" s="59"/>
      <c r="W177" s="59"/>
      <c r="X177" s="59"/>
      <c r="Y177" s="59"/>
      <c r="Z177" s="59"/>
      <c r="AA177" s="59"/>
      <c r="AB177" s="59"/>
      <c r="AC177" s="59"/>
      <c r="AD177" s="59"/>
      <c r="AE177" s="59"/>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row>
    <row r="178" spans="1:64" ht="12.75">
      <c r="A178" s="7"/>
      <c r="B178" s="7"/>
      <c r="C178" s="7"/>
      <c r="D178" s="7"/>
      <c r="E178" s="7"/>
      <c r="F178" s="7"/>
      <c r="G178" s="7"/>
      <c r="H178" s="7"/>
      <c r="I178" s="7"/>
      <c r="J178" s="7"/>
      <c r="K178" s="7"/>
      <c r="L178" s="7"/>
      <c r="M178" s="7"/>
      <c r="N178" s="59"/>
      <c r="O178" s="59"/>
      <c r="P178" s="59"/>
      <c r="Q178" s="59"/>
      <c r="R178" s="59"/>
      <c r="S178" s="59"/>
      <c r="T178" s="59"/>
      <c r="U178" s="59"/>
      <c r="V178" s="59"/>
      <c r="W178" s="59"/>
      <c r="X178" s="59"/>
      <c r="Y178" s="59"/>
      <c r="Z178" s="59"/>
      <c r="AA178" s="59"/>
      <c r="AB178" s="59"/>
      <c r="AC178" s="59"/>
      <c r="AD178" s="59"/>
      <c r="AE178" s="59"/>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row>
    <row r="179" spans="1:64" ht="12.75">
      <c r="A179" s="7"/>
      <c r="B179" s="7"/>
      <c r="C179" s="7"/>
      <c r="D179" s="7"/>
      <c r="E179" s="7"/>
      <c r="F179" s="7"/>
      <c r="G179" s="7"/>
      <c r="H179" s="7"/>
      <c r="I179" s="7"/>
      <c r="J179" s="7"/>
      <c r="K179" s="7"/>
      <c r="L179" s="7"/>
      <c r="M179" s="7"/>
      <c r="N179" s="59"/>
      <c r="O179" s="59"/>
      <c r="P179" s="59"/>
      <c r="Q179" s="59"/>
      <c r="R179" s="59"/>
      <c r="S179" s="59"/>
      <c r="T179" s="59"/>
      <c r="U179" s="59"/>
      <c r="V179" s="59"/>
      <c r="W179" s="59"/>
      <c r="X179" s="59"/>
      <c r="Y179" s="59"/>
      <c r="Z179" s="59"/>
      <c r="AA179" s="59"/>
      <c r="AB179" s="59"/>
      <c r="AC179" s="59"/>
      <c r="AD179" s="59"/>
      <c r="AE179" s="59"/>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row>
    <row r="180" spans="1:64" ht="12.75">
      <c r="A180" s="7"/>
      <c r="B180" s="7"/>
      <c r="C180" s="7"/>
      <c r="D180" s="7"/>
      <c r="E180" s="7"/>
      <c r="F180" s="7"/>
      <c r="G180" s="7"/>
      <c r="H180" s="7"/>
      <c r="I180" s="7"/>
      <c r="J180" s="7"/>
      <c r="K180" s="7"/>
      <c r="L180" s="7"/>
      <c r="M180" s="7"/>
      <c r="N180" s="59"/>
      <c r="O180" s="59"/>
      <c r="P180" s="59"/>
      <c r="Q180" s="59"/>
      <c r="R180" s="59"/>
      <c r="S180" s="59"/>
      <c r="T180" s="59"/>
      <c r="U180" s="59"/>
      <c r="V180" s="59"/>
      <c r="W180" s="59"/>
      <c r="X180" s="59"/>
      <c r="Y180" s="59"/>
      <c r="Z180" s="59"/>
      <c r="AA180" s="59"/>
      <c r="AB180" s="59"/>
      <c r="AC180" s="59"/>
      <c r="AD180" s="59"/>
      <c r="AE180" s="59"/>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row>
    <row r="181" spans="1:64" ht="12.75">
      <c r="A181" s="7"/>
      <c r="B181" s="7"/>
      <c r="C181" s="7"/>
      <c r="D181" s="7"/>
      <c r="E181" s="7"/>
      <c r="F181" s="7"/>
      <c r="G181" s="7"/>
      <c r="H181" s="7"/>
      <c r="I181" s="7"/>
      <c r="J181" s="7"/>
      <c r="K181" s="7"/>
      <c r="L181" s="7"/>
      <c r="M181" s="7"/>
      <c r="N181" s="59"/>
      <c r="O181" s="59"/>
      <c r="P181" s="59"/>
      <c r="Q181" s="59"/>
      <c r="R181" s="59"/>
      <c r="S181" s="59"/>
      <c r="T181" s="59"/>
      <c r="U181" s="59"/>
      <c r="V181" s="59"/>
      <c r="W181" s="59"/>
      <c r="X181" s="59"/>
      <c r="Y181" s="59"/>
      <c r="Z181" s="59"/>
      <c r="AA181" s="59"/>
      <c r="AB181" s="59"/>
      <c r="AC181" s="59"/>
      <c r="AD181" s="59"/>
      <c r="AE181" s="59"/>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row>
    <row r="182" spans="1:64" ht="12.75">
      <c r="A182" s="7"/>
      <c r="B182" s="7"/>
      <c r="C182" s="7"/>
      <c r="D182" s="7"/>
      <c r="E182" s="7"/>
      <c r="F182" s="7"/>
      <c r="G182" s="7"/>
      <c r="H182" s="7"/>
      <c r="I182" s="7"/>
      <c r="J182" s="7"/>
      <c r="K182" s="7"/>
      <c r="L182" s="7"/>
      <c r="M182" s="7"/>
      <c r="N182" s="59"/>
      <c r="O182" s="59"/>
      <c r="P182" s="59"/>
      <c r="Q182" s="59"/>
      <c r="R182" s="59"/>
      <c r="S182" s="59"/>
      <c r="T182" s="59"/>
      <c r="U182" s="59"/>
      <c r="V182" s="59"/>
      <c r="W182" s="59"/>
      <c r="X182" s="59"/>
      <c r="Y182" s="59"/>
      <c r="Z182" s="59"/>
      <c r="AA182" s="59"/>
      <c r="AB182" s="59"/>
      <c r="AC182" s="59"/>
      <c r="AD182" s="59"/>
      <c r="AE182" s="59"/>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row>
    <row r="183" spans="1:64" ht="12.75">
      <c r="A183" s="7"/>
      <c r="B183" s="7"/>
      <c r="C183" s="7"/>
      <c r="D183" s="7"/>
      <c r="E183" s="7"/>
      <c r="F183" s="7"/>
      <c r="G183" s="7"/>
      <c r="H183" s="7"/>
      <c r="I183" s="7"/>
      <c r="J183" s="7"/>
      <c r="K183" s="7"/>
      <c r="L183" s="7"/>
      <c r="M183" s="7"/>
      <c r="N183" s="59"/>
      <c r="O183" s="59"/>
      <c r="P183" s="59"/>
      <c r="Q183" s="59"/>
      <c r="R183" s="59"/>
      <c r="S183" s="59"/>
      <c r="T183" s="59"/>
      <c r="U183" s="59"/>
      <c r="V183" s="59"/>
      <c r="W183" s="59"/>
      <c r="X183" s="59"/>
      <c r="Y183" s="59"/>
      <c r="Z183" s="59"/>
      <c r="AA183" s="59"/>
      <c r="AB183" s="59"/>
      <c r="AC183" s="59"/>
      <c r="AD183" s="59"/>
      <c r="AE183" s="59"/>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row>
    <row r="184" spans="1:64" ht="12.75">
      <c r="A184" s="7"/>
      <c r="B184" s="7"/>
      <c r="C184" s="7"/>
      <c r="D184" s="7"/>
      <c r="E184" s="7"/>
      <c r="F184" s="7"/>
      <c r="G184" s="7"/>
      <c r="H184" s="7"/>
      <c r="I184" s="7"/>
      <c r="J184" s="7"/>
      <c r="K184" s="7"/>
      <c r="L184" s="7"/>
      <c r="M184" s="7"/>
      <c r="N184" s="59"/>
      <c r="O184" s="59"/>
      <c r="P184" s="59"/>
      <c r="Q184" s="59"/>
      <c r="R184" s="59"/>
      <c r="S184" s="59"/>
      <c r="T184" s="59"/>
      <c r="U184" s="59"/>
      <c r="V184" s="59"/>
      <c r="W184" s="59"/>
      <c r="X184" s="59"/>
      <c r="Y184" s="59"/>
      <c r="Z184" s="59"/>
      <c r="AA184" s="59"/>
      <c r="AB184" s="59"/>
      <c r="AC184" s="59"/>
      <c r="AD184" s="59"/>
      <c r="AE184" s="59"/>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row>
    <row r="185" spans="1:64" ht="12.75">
      <c r="A185" s="7"/>
      <c r="B185" s="7"/>
      <c r="C185" s="7"/>
      <c r="D185" s="7"/>
      <c r="E185" s="7"/>
      <c r="F185" s="7"/>
      <c r="G185" s="7"/>
      <c r="H185" s="7"/>
      <c r="I185" s="7"/>
      <c r="J185" s="7"/>
      <c r="K185" s="7"/>
      <c r="L185" s="7"/>
      <c r="M185" s="7"/>
      <c r="N185" s="59"/>
      <c r="O185" s="59"/>
      <c r="P185" s="59"/>
      <c r="Q185" s="59"/>
      <c r="R185" s="59"/>
      <c r="S185" s="59"/>
      <c r="T185" s="59"/>
      <c r="U185" s="59"/>
      <c r="V185" s="59"/>
      <c r="W185" s="59"/>
      <c r="X185" s="59"/>
      <c r="Y185" s="59"/>
      <c r="Z185" s="59"/>
      <c r="AA185" s="59"/>
      <c r="AB185" s="59"/>
      <c r="AC185" s="59"/>
      <c r="AD185" s="59"/>
      <c r="AE185" s="59"/>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row>
    <row r="186" spans="1:64" ht="12.75">
      <c r="A186" s="7"/>
      <c r="B186" s="7"/>
      <c r="C186" s="7"/>
      <c r="D186" s="7"/>
      <c r="E186" s="7"/>
      <c r="F186" s="7"/>
      <c r="G186" s="7"/>
      <c r="H186" s="7"/>
      <c r="I186" s="7"/>
      <c r="J186" s="7"/>
      <c r="K186" s="7"/>
      <c r="L186" s="7"/>
      <c r="M186" s="7"/>
      <c r="N186" s="59"/>
      <c r="O186" s="59"/>
      <c r="P186" s="59"/>
      <c r="Q186" s="59"/>
      <c r="R186" s="59"/>
      <c r="S186" s="59"/>
      <c r="T186" s="59"/>
      <c r="U186" s="59"/>
      <c r="V186" s="59"/>
      <c r="W186" s="59"/>
      <c r="X186" s="59"/>
      <c r="Y186" s="59"/>
      <c r="Z186" s="59"/>
      <c r="AA186" s="59"/>
      <c r="AB186" s="59"/>
      <c r="AC186" s="59"/>
      <c r="AD186" s="59"/>
      <c r="AE186" s="59"/>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row>
    <row r="187" spans="1:64" ht="12.75">
      <c r="A187" s="7"/>
      <c r="B187" s="7"/>
      <c r="C187" s="7"/>
      <c r="D187" s="7"/>
      <c r="E187" s="7"/>
      <c r="F187" s="7"/>
      <c r="G187" s="7"/>
      <c r="H187" s="7"/>
      <c r="I187" s="7"/>
      <c r="J187" s="7"/>
      <c r="K187" s="7"/>
      <c r="L187" s="7"/>
      <c r="M187" s="7"/>
      <c r="N187" s="59"/>
      <c r="O187" s="59"/>
      <c r="P187" s="59"/>
      <c r="Q187" s="59"/>
      <c r="R187" s="59"/>
      <c r="S187" s="59"/>
      <c r="T187" s="59"/>
      <c r="U187" s="59"/>
      <c r="V187" s="59"/>
      <c r="W187" s="59"/>
      <c r="X187" s="59"/>
      <c r="Y187" s="59"/>
      <c r="Z187" s="59"/>
      <c r="AA187" s="59"/>
      <c r="AB187" s="59"/>
      <c r="AC187" s="59"/>
      <c r="AD187" s="59"/>
      <c r="AE187" s="59"/>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row>
    <row r="188" spans="1:64" ht="12.75">
      <c r="A188" s="7"/>
      <c r="B188" s="7"/>
      <c r="C188" s="7"/>
      <c r="D188" s="7"/>
      <c r="E188" s="7"/>
      <c r="F188" s="7"/>
      <c r="G188" s="7"/>
      <c r="H188" s="7"/>
      <c r="I188" s="7"/>
      <c r="J188" s="7"/>
      <c r="K188" s="7"/>
      <c r="L188" s="7"/>
      <c r="M188" s="7"/>
      <c r="N188" s="59"/>
      <c r="O188" s="59"/>
      <c r="P188" s="59"/>
      <c r="Q188" s="59"/>
      <c r="R188" s="59"/>
      <c r="S188" s="59"/>
      <c r="T188" s="59"/>
      <c r="U188" s="59"/>
      <c r="V188" s="59"/>
      <c r="W188" s="59"/>
      <c r="X188" s="59"/>
      <c r="Y188" s="59"/>
      <c r="Z188" s="59"/>
      <c r="AA188" s="59"/>
      <c r="AB188" s="59"/>
      <c r="AC188" s="59"/>
      <c r="AD188" s="59"/>
      <c r="AE188" s="59"/>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row>
    <row r="189" spans="1:64" ht="12.75">
      <c r="A189" s="7"/>
      <c r="B189" s="7"/>
      <c r="C189" s="7"/>
      <c r="D189" s="7"/>
      <c r="E189" s="7"/>
      <c r="F189" s="7"/>
      <c r="G189" s="7"/>
      <c r="H189" s="7"/>
      <c r="I189" s="7"/>
      <c r="J189" s="7"/>
      <c r="K189" s="7"/>
      <c r="L189" s="7"/>
      <c r="M189" s="7"/>
      <c r="N189" s="59"/>
      <c r="O189" s="59"/>
      <c r="P189" s="59"/>
      <c r="Q189" s="59"/>
      <c r="R189" s="59"/>
      <c r="S189" s="59"/>
      <c r="T189" s="59"/>
      <c r="U189" s="59"/>
      <c r="V189" s="59"/>
      <c r="W189" s="59"/>
      <c r="X189" s="59"/>
      <c r="Y189" s="59"/>
      <c r="Z189" s="59"/>
      <c r="AA189" s="59"/>
      <c r="AB189" s="59"/>
      <c r="AC189" s="59"/>
      <c r="AD189" s="59"/>
      <c r="AE189" s="59"/>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row>
    <row r="190" spans="1:64" ht="12.75">
      <c r="A190" s="7"/>
      <c r="B190" s="7"/>
      <c r="C190" s="7"/>
      <c r="D190" s="7"/>
      <c r="E190" s="7"/>
      <c r="F190" s="7"/>
      <c r="G190" s="7"/>
      <c r="H190" s="7"/>
      <c r="I190" s="7"/>
      <c r="J190" s="7"/>
      <c r="K190" s="7"/>
      <c r="L190" s="7"/>
      <c r="M190" s="7"/>
      <c r="N190" s="59"/>
      <c r="O190" s="59"/>
      <c r="P190" s="59"/>
      <c r="Q190" s="59"/>
      <c r="R190" s="59"/>
      <c r="S190" s="59"/>
      <c r="T190" s="59"/>
      <c r="U190" s="59"/>
      <c r="V190" s="59"/>
      <c r="W190" s="59"/>
      <c r="X190" s="59"/>
      <c r="Y190" s="59"/>
      <c r="Z190" s="59"/>
      <c r="AA190" s="59"/>
      <c r="AB190" s="59"/>
      <c r="AC190" s="59"/>
      <c r="AD190" s="59"/>
      <c r="AE190" s="59"/>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row>
    <row r="191" spans="1:64" ht="12.75">
      <c r="A191" s="7"/>
      <c r="B191" s="7"/>
      <c r="C191" s="7"/>
      <c r="D191" s="7"/>
      <c r="E191" s="7"/>
      <c r="F191" s="7"/>
      <c r="G191" s="7"/>
      <c r="H191" s="7"/>
      <c r="I191" s="7"/>
      <c r="J191" s="7"/>
      <c r="K191" s="7"/>
      <c r="L191" s="7"/>
      <c r="M191" s="7"/>
      <c r="N191" s="59"/>
      <c r="O191" s="59"/>
      <c r="P191" s="59"/>
      <c r="Q191" s="59"/>
      <c r="R191" s="59"/>
      <c r="S191" s="59"/>
      <c r="T191" s="59"/>
      <c r="U191" s="59"/>
      <c r="V191" s="59"/>
      <c r="W191" s="59"/>
      <c r="X191" s="59"/>
      <c r="Y191" s="59"/>
      <c r="Z191" s="59"/>
      <c r="AA191" s="59"/>
      <c r="AB191" s="59"/>
      <c r="AC191" s="59"/>
      <c r="AD191" s="59"/>
      <c r="AE191" s="59"/>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row>
    <row r="192" spans="1:64" ht="12.75">
      <c r="A192" s="7"/>
      <c r="B192" s="7"/>
      <c r="C192" s="7"/>
      <c r="D192" s="7"/>
      <c r="E192" s="7"/>
      <c r="F192" s="7"/>
      <c r="G192" s="7"/>
      <c r="H192" s="7"/>
      <c r="I192" s="7"/>
      <c r="J192" s="7"/>
      <c r="K192" s="7"/>
      <c r="L192" s="7"/>
      <c r="M192" s="7"/>
      <c r="N192" s="59"/>
      <c r="O192" s="59"/>
      <c r="P192" s="59"/>
      <c r="Q192" s="59"/>
      <c r="R192" s="59"/>
      <c r="S192" s="59"/>
      <c r="T192" s="59"/>
      <c r="U192" s="59"/>
      <c r="V192" s="59"/>
      <c r="W192" s="59"/>
      <c r="X192" s="59"/>
      <c r="Y192" s="59"/>
      <c r="Z192" s="59"/>
      <c r="AA192" s="59"/>
      <c r="AB192" s="59"/>
      <c r="AC192" s="59"/>
      <c r="AD192" s="59"/>
      <c r="AE192" s="59"/>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row>
    <row r="193" spans="1:64" ht="12.75">
      <c r="A193" s="7"/>
      <c r="B193" s="7"/>
      <c r="C193" s="7"/>
      <c r="D193" s="7"/>
      <c r="E193" s="7"/>
      <c r="F193" s="7"/>
      <c r="G193" s="7"/>
      <c r="H193" s="7"/>
      <c r="I193" s="7"/>
      <c r="J193" s="7"/>
      <c r="K193" s="7"/>
      <c r="L193" s="7"/>
      <c r="M193" s="7"/>
      <c r="N193" s="59"/>
      <c r="O193" s="59"/>
      <c r="P193" s="59"/>
      <c r="Q193" s="59"/>
      <c r="R193" s="59"/>
      <c r="S193" s="59"/>
      <c r="T193" s="59"/>
      <c r="U193" s="59"/>
      <c r="V193" s="59"/>
      <c r="W193" s="59"/>
      <c r="X193" s="59"/>
      <c r="Y193" s="59"/>
      <c r="Z193" s="59"/>
      <c r="AA193" s="59"/>
      <c r="AB193" s="59"/>
      <c r="AC193" s="59"/>
      <c r="AD193" s="59"/>
      <c r="AE193" s="59"/>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row>
    <row r="194" spans="1:64" ht="12.75">
      <c r="A194" s="7"/>
      <c r="B194" s="7"/>
      <c r="C194" s="7"/>
      <c r="D194" s="7"/>
      <c r="E194" s="7"/>
      <c r="F194" s="7"/>
      <c r="G194" s="7"/>
      <c r="H194" s="7"/>
      <c r="I194" s="7"/>
      <c r="J194" s="7"/>
      <c r="K194" s="7"/>
      <c r="L194" s="7"/>
      <c r="M194" s="7"/>
      <c r="N194" s="59"/>
      <c r="O194" s="59"/>
      <c r="P194" s="59"/>
      <c r="Q194" s="59"/>
      <c r="R194" s="59"/>
      <c r="S194" s="59"/>
      <c r="T194" s="59"/>
      <c r="U194" s="59"/>
      <c r="V194" s="59"/>
      <c r="W194" s="59"/>
      <c r="X194" s="59"/>
      <c r="Y194" s="59"/>
      <c r="Z194" s="59"/>
      <c r="AA194" s="59"/>
      <c r="AB194" s="59"/>
      <c r="AC194" s="59"/>
      <c r="AD194" s="59"/>
      <c r="AE194" s="59"/>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row>
    <row r="195" spans="1:64" ht="12.75">
      <c r="A195" s="7"/>
      <c r="B195" s="7"/>
      <c r="C195" s="7"/>
      <c r="D195" s="7"/>
      <c r="E195" s="7"/>
      <c r="F195" s="7"/>
      <c r="G195" s="7"/>
      <c r="H195" s="7"/>
      <c r="I195" s="7"/>
      <c r="J195" s="7"/>
      <c r="K195" s="7"/>
      <c r="L195" s="7"/>
      <c r="M195" s="7"/>
      <c r="N195" s="59"/>
      <c r="O195" s="59"/>
      <c r="P195" s="59"/>
      <c r="Q195" s="59"/>
      <c r="R195" s="59"/>
      <c r="S195" s="59"/>
      <c r="T195" s="59"/>
      <c r="U195" s="59"/>
      <c r="V195" s="59"/>
      <c r="W195" s="59"/>
      <c r="X195" s="59"/>
      <c r="Y195" s="59"/>
      <c r="Z195" s="59"/>
      <c r="AA195" s="59"/>
      <c r="AB195" s="59"/>
      <c r="AC195" s="59"/>
      <c r="AD195" s="59"/>
      <c r="AE195" s="59"/>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row>
    <row r="196" spans="1:64" ht="12.75">
      <c r="A196" s="7"/>
      <c r="B196" s="7"/>
      <c r="C196" s="7"/>
      <c r="D196" s="7"/>
      <c r="E196" s="7"/>
      <c r="F196" s="7"/>
      <c r="G196" s="7"/>
      <c r="H196" s="7"/>
      <c r="I196" s="7"/>
      <c r="J196" s="7"/>
      <c r="K196" s="7"/>
      <c r="L196" s="7"/>
      <c r="M196" s="7"/>
      <c r="N196" s="59"/>
      <c r="O196" s="59"/>
      <c r="P196" s="59"/>
      <c r="Q196" s="59"/>
      <c r="R196" s="59"/>
      <c r="S196" s="59"/>
      <c r="T196" s="59"/>
      <c r="U196" s="59"/>
      <c r="V196" s="59"/>
      <c r="W196" s="59"/>
      <c r="X196" s="59"/>
      <c r="Y196" s="59"/>
      <c r="Z196" s="59"/>
      <c r="AA196" s="59"/>
      <c r="AB196" s="59"/>
      <c r="AC196" s="59"/>
      <c r="AD196" s="59"/>
      <c r="AE196" s="59"/>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row>
    <row r="197" spans="1:64" ht="12.75">
      <c r="A197" s="7"/>
      <c r="B197" s="7"/>
      <c r="C197" s="7"/>
      <c r="D197" s="7"/>
      <c r="E197" s="7"/>
      <c r="F197" s="7"/>
      <c r="G197" s="7"/>
      <c r="H197" s="7"/>
      <c r="I197" s="7"/>
      <c r="J197" s="7"/>
      <c r="K197" s="7"/>
      <c r="L197" s="7"/>
      <c r="M197" s="7"/>
      <c r="N197" s="59"/>
      <c r="O197" s="59"/>
      <c r="P197" s="59"/>
      <c r="Q197" s="59"/>
      <c r="R197" s="59"/>
      <c r="S197" s="59"/>
      <c r="T197" s="59"/>
      <c r="U197" s="59"/>
      <c r="V197" s="59"/>
      <c r="W197" s="59"/>
      <c r="X197" s="59"/>
      <c r="Y197" s="59"/>
      <c r="Z197" s="59"/>
      <c r="AA197" s="59"/>
      <c r="AB197" s="59"/>
      <c r="AC197" s="59"/>
      <c r="AD197" s="59"/>
      <c r="AE197" s="59"/>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row>
    <row r="198" spans="1:64" ht="12.75">
      <c r="A198" s="7"/>
      <c r="B198" s="7"/>
      <c r="C198" s="7"/>
      <c r="D198" s="7"/>
      <c r="E198" s="7"/>
      <c r="F198" s="7"/>
      <c r="G198" s="7"/>
      <c r="H198" s="7"/>
      <c r="I198" s="7"/>
      <c r="J198" s="7"/>
      <c r="K198" s="7"/>
      <c r="L198" s="7"/>
      <c r="M198" s="7"/>
      <c r="N198" s="59"/>
      <c r="O198" s="59"/>
      <c r="P198" s="59"/>
      <c r="Q198" s="59"/>
      <c r="R198" s="59"/>
      <c r="S198" s="59"/>
      <c r="T198" s="59"/>
      <c r="U198" s="59"/>
      <c r="V198" s="59"/>
      <c r="W198" s="59"/>
      <c r="X198" s="59"/>
      <c r="Y198" s="59"/>
      <c r="Z198" s="59"/>
      <c r="AA198" s="59"/>
      <c r="AB198" s="59"/>
      <c r="AC198" s="59"/>
      <c r="AD198" s="59"/>
      <c r="AE198" s="59"/>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row>
    <row r="199" spans="1:64" ht="12.75">
      <c r="A199" s="7"/>
      <c r="B199" s="7"/>
      <c r="C199" s="7"/>
      <c r="D199" s="7"/>
      <c r="E199" s="7"/>
      <c r="F199" s="7"/>
      <c r="G199" s="7"/>
      <c r="H199" s="7"/>
      <c r="I199" s="7"/>
      <c r="J199" s="7"/>
      <c r="K199" s="7"/>
      <c r="L199" s="7"/>
      <c r="M199" s="7"/>
      <c r="N199" s="59"/>
      <c r="O199" s="59"/>
      <c r="P199" s="59"/>
      <c r="Q199" s="59"/>
      <c r="R199" s="59"/>
      <c r="S199" s="59"/>
      <c r="T199" s="59"/>
      <c r="U199" s="59"/>
      <c r="V199" s="59"/>
      <c r="W199" s="59"/>
      <c r="X199" s="59"/>
      <c r="Y199" s="59"/>
      <c r="Z199" s="59"/>
      <c r="AA199" s="59"/>
      <c r="AB199" s="59"/>
      <c r="AC199" s="59"/>
      <c r="AD199" s="59"/>
      <c r="AE199" s="59"/>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row>
    <row r="200" spans="1:64" ht="12.75">
      <c r="A200" s="7"/>
      <c r="B200" s="7"/>
      <c r="C200" s="7"/>
      <c r="D200" s="7"/>
      <c r="E200" s="7"/>
      <c r="F200" s="7"/>
      <c r="G200" s="7"/>
      <c r="H200" s="7"/>
      <c r="I200" s="7"/>
      <c r="J200" s="7"/>
      <c r="K200" s="7"/>
      <c r="L200" s="7"/>
      <c r="M200" s="7"/>
      <c r="N200" s="59"/>
      <c r="O200" s="59"/>
      <c r="P200" s="59"/>
      <c r="Q200" s="59"/>
      <c r="R200" s="59"/>
      <c r="S200" s="59"/>
      <c r="T200" s="59"/>
      <c r="U200" s="59"/>
      <c r="V200" s="59"/>
      <c r="W200" s="59"/>
      <c r="X200" s="59"/>
      <c r="Y200" s="59"/>
      <c r="Z200" s="59"/>
      <c r="AA200" s="59"/>
      <c r="AB200" s="59"/>
      <c r="AC200" s="59"/>
      <c r="AD200" s="59"/>
      <c r="AE200" s="59"/>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row>
    <row r="201" spans="1:64" ht="12.75">
      <c r="A201" s="7"/>
      <c r="B201" s="7"/>
      <c r="C201" s="7"/>
      <c r="D201" s="7"/>
      <c r="E201" s="7"/>
      <c r="F201" s="7"/>
      <c r="G201" s="7"/>
      <c r="H201" s="7"/>
      <c r="I201" s="7"/>
      <c r="J201" s="7"/>
      <c r="K201" s="7"/>
      <c r="L201" s="7"/>
      <c r="M201" s="7"/>
      <c r="N201" s="59"/>
      <c r="O201" s="59"/>
      <c r="P201" s="59"/>
      <c r="Q201" s="59"/>
      <c r="R201" s="59"/>
      <c r="S201" s="59"/>
      <c r="T201" s="59"/>
      <c r="U201" s="59"/>
      <c r="V201" s="59"/>
      <c r="W201" s="59"/>
      <c r="X201" s="59"/>
      <c r="Y201" s="59"/>
      <c r="Z201" s="59"/>
      <c r="AA201" s="59"/>
      <c r="AB201" s="59"/>
      <c r="AC201" s="59"/>
      <c r="AD201" s="59"/>
      <c r="AE201" s="59"/>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row>
    <row r="202" spans="1:64" ht="12.75">
      <c r="A202" s="7"/>
      <c r="B202" s="7"/>
      <c r="C202" s="7"/>
      <c r="D202" s="7"/>
      <c r="E202" s="7"/>
      <c r="F202" s="7"/>
      <c r="G202" s="7"/>
      <c r="H202" s="7"/>
      <c r="I202" s="7"/>
      <c r="J202" s="7"/>
      <c r="K202" s="7"/>
      <c r="L202" s="7"/>
      <c r="M202" s="7"/>
      <c r="N202" s="59"/>
      <c r="O202" s="59"/>
      <c r="P202" s="59"/>
      <c r="Q202" s="59"/>
      <c r="R202" s="59"/>
      <c r="S202" s="59"/>
      <c r="T202" s="59"/>
      <c r="U202" s="59"/>
      <c r="V202" s="59"/>
      <c r="W202" s="59"/>
      <c r="X202" s="59"/>
      <c r="Y202" s="59"/>
      <c r="Z202" s="59"/>
      <c r="AA202" s="59"/>
      <c r="AB202" s="59"/>
      <c r="AC202" s="59"/>
      <c r="AD202" s="59"/>
      <c r="AE202" s="59"/>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row>
    <row r="203" spans="1:64" ht="12.75">
      <c r="A203" s="7"/>
      <c r="B203" s="7"/>
      <c r="C203" s="7"/>
      <c r="D203" s="7"/>
      <c r="E203" s="7"/>
      <c r="F203" s="7"/>
      <c r="G203" s="7"/>
      <c r="H203" s="7"/>
      <c r="I203" s="7"/>
      <c r="J203" s="7"/>
      <c r="K203" s="7"/>
      <c r="L203" s="7"/>
      <c r="M203" s="7"/>
      <c r="N203" s="59"/>
      <c r="O203" s="59"/>
      <c r="P203" s="59"/>
      <c r="Q203" s="59"/>
      <c r="R203" s="59"/>
      <c r="S203" s="59"/>
      <c r="T203" s="59"/>
      <c r="U203" s="59"/>
      <c r="V203" s="59"/>
      <c r="W203" s="59"/>
      <c r="X203" s="59"/>
      <c r="Y203" s="59"/>
      <c r="Z203" s="59"/>
      <c r="AA203" s="59"/>
      <c r="AB203" s="59"/>
      <c r="AC203" s="59"/>
      <c r="AD203" s="59"/>
      <c r="AE203" s="59"/>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row>
    <row r="204" spans="1:64" ht="12.75">
      <c r="A204" s="7"/>
      <c r="B204" s="7"/>
      <c r="C204" s="7"/>
      <c r="D204" s="7"/>
      <c r="E204" s="7"/>
      <c r="F204" s="7"/>
      <c r="G204" s="7"/>
      <c r="H204" s="7"/>
      <c r="I204" s="7"/>
      <c r="J204" s="7"/>
      <c r="K204" s="7"/>
      <c r="L204" s="7"/>
      <c r="M204" s="7"/>
      <c r="N204" s="59"/>
      <c r="O204" s="59"/>
      <c r="P204" s="59"/>
      <c r="Q204" s="59"/>
      <c r="R204" s="59"/>
      <c r="S204" s="59"/>
      <c r="T204" s="59"/>
      <c r="U204" s="59"/>
      <c r="V204" s="59"/>
      <c r="W204" s="59"/>
      <c r="X204" s="59"/>
      <c r="Y204" s="59"/>
      <c r="Z204" s="59"/>
      <c r="AA204" s="59"/>
      <c r="AB204" s="59"/>
      <c r="AC204" s="59"/>
      <c r="AD204" s="59"/>
      <c r="AE204" s="59"/>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row>
    <row r="205" spans="1:64" ht="12.75">
      <c r="A205" s="7"/>
      <c r="B205" s="7"/>
      <c r="C205" s="7"/>
      <c r="D205" s="7"/>
      <c r="E205" s="7"/>
      <c r="F205" s="7"/>
      <c r="G205" s="7"/>
      <c r="H205" s="7"/>
      <c r="I205" s="7"/>
      <c r="J205" s="7"/>
      <c r="K205" s="7"/>
      <c r="L205" s="7"/>
      <c r="M205" s="7"/>
      <c r="N205" s="59"/>
      <c r="O205" s="59"/>
      <c r="P205" s="59"/>
      <c r="Q205" s="59"/>
      <c r="R205" s="59"/>
      <c r="S205" s="59"/>
      <c r="T205" s="59"/>
      <c r="U205" s="59"/>
      <c r="V205" s="59"/>
      <c r="W205" s="59"/>
      <c r="X205" s="59"/>
      <c r="Y205" s="59"/>
      <c r="Z205" s="59"/>
      <c r="AA205" s="59"/>
      <c r="AB205" s="59"/>
      <c r="AC205" s="59"/>
      <c r="AD205" s="59"/>
      <c r="AE205" s="59"/>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row>
    <row r="206" spans="1:64" ht="12.75">
      <c r="A206" s="7"/>
      <c r="B206" s="7"/>
      <c r="C206" s="7"/>
      <c r="D206" s="7"/>
      <c r="E206" s="7"/>
      <c r="F206" s="7"/>
      <c r="G206" s="7"/>
      <c r="H206" s="7"/>
      <c r="I206" s="7"/>
      <c r="J206" s="7"/>
      <c r="K206" s="7"/>
      <c r="L206" s="7"/>
      <c r="M206" s="7"/>
      <c r="N206" s="59"/>
      <c r="O206" s="59"/>
      <c r="P206" s="59"/>
      <c r="Q206" s="59"/>
      <c r="R206" s="59"/>
      <c r="S206" s="59"/>
      <c r="T206" s="59"/>
      <c r="U206" s="59"/>
      <c r="V206" s="59"/>
      <c r="W206" s="59"/>
      <c r="X206" s="59"/>
      <c r="Y206" s="59"/>
      <c r="Z206" s="59"/>
      <c r="AA206" s="59"/>
      <c r="AB206" s="59"/>
      <c r="AC206" s="59"/>
      <c r="AD206" s="59"/>
      <c r="AE206" s="59"/>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row>
    <row r="207" spans="1:64" ht="12.75">
      <c r="A207" s="7"/>
      <c r="B207" s="7"/>
      <c r="C207" s="7"/>
      <c r="D207" s="7"/>
      <c r="E207" s="7"/>
      <c r="F207" s="7"/>
      <c r="G207" s="7"/>
      <c r="H207" s="7"/>
      <c r="I207" s="7"/>
      <c r="J207" s="7"/>
      <c r="K207" s="7"/>
      <c r="L207" s="7"/>
      <c r="M207" s="7"/>
      <c r="N207" s="59"/>
      <c r="O207" s="59"/>
      <c r="P207" s="59"/>
      <c r="Q207" s="59"/>
      <c r="R207" s="59"/>
      <c r="S207" s="59"/>
      <c r="T207" s="59"/>
      <c r="U207" s="59"/>
      <c r="V207" s="59"/>
      <c r="W207" s="59"/>
      <c r="X207" s="59"/>
      <c r="Y207" s="59"/>
      <c r="Z207" s="59"/>
      <c r="AA207" s="59"/>
      <c r="AB207" s="59"/>
      <c r="AC207" s="59"/>
      <c r="AD207" s="59"/>
      <c r="AE207" s="59"/>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row>
    <row r="208" spans="1:64" ht="12.75">
      <c r="A208" s="7"/>
      <c r="B208" s="7"/>
      <c r="C208" s="7"/>
      <c r="D208" s="7"/>
      <c r="E208" s="7"/>
      <c r="F208" s="7"/>
      <c r="G208" s="7"/>
      <c r="H208" s="7"/>
      <c r="I208" s="7"/>
      <c r="J208" s="7"/>
      <c r="K208" s="7"/>
      <c r="L208" s="7"/>
      <c r="M208" s="7"/>
      <c r="N208" s="59"/>
      <c r="O208" s="59"/>
      <c r="P208" s="59"/>
      <c r="Q208" s="59"/>
      <c r="R208" s="59"/>
      <c r="S208" s="59"/>
      <c r="T208" s="59"/>
      <c r="U208" s="59"/>
      <c r="V208" s="59"/>
      <c r="W208" s="59"/>
      <c r="X208" s="59"/>
      <c r="Y208" s="59"/>
      <c r="Z208" s="59"/>
      <c r="AA208" s="59"/>
      <c r="AB208" s="59"/>
      <c r="AC208" s="59"/>
      <c r="AD208" s="59"/>
      <c r="AE208" s="59"/>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row>
    <row r="209" spans="1:64" ht="12.75">
      <c r="A209" s="7"/>
      <c r="B209" s="7"/>
      <c r="C209" s="7"/>
      <c r="D209" s="7"/>
      <c r="E209" s="7"/>
      <c r="F209" s="7"/>
      <c r="G209" s="7"/>
      <c r="H209" s="7"/>
      <c r="I209" s="7"/>
      <c r="J209" s="7"/>
      <c r="K209" s="7"/>
      <c r="L209" s="7"/>
      <c r="M209" s="7"/>
      <c r="N209" s="59"/>
      <c r="O209" s="59"/>
      <c r="P209" s="59"/>
      <c r="Q209" s="59"/>
      <c r="R209" s="59"/>
      <c r="S209" s="59"/>
      <c r="T209" s="59"/>
      <c r="U209" s="59"/>
      <c r="V209" s="59"/>
      <c r="W209" s="59"/>
      <c r="X209" s="59"/>
      <c r="Y209" s="59"/>
      <c r="Z209" s="59"/>
      <c r="AA209" s="59"/>
      <c r="AB209" s="59"/>
      <c r="AC209" s="59"/>
      <c r="AD209" s="59"/>
      <c r="AE209" s="59"/>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row>
    <row r="210" spans="1:64" ht="12.75">
      <c r="A210" s="7"/>
      <c r="B210" s="7"/>
      <c r="C210" s="7"/>
      <c r="D210" s="7"/>
      <c r="E210" s="7"/>
      <c r="F210" s="7"/>
      <c r="G210" s="7"/>
      <c r="H210" s="7"/>
      <c r="I210" s="7"/>
      <c r="J210" s="7"/>
      <c r="K210" s="7"/>
      <c r="L210" s="7"/>
      <c r="M210" s="7"/>
      <c r="N210" s="59"/>
      <c r="O210" s="59"/>
      <c r="P210" s="59"/>
      <c r="Q210" s="59"/>
      <c r="R210" s="59"/>
      <c r="S210" s="59"/>
      <c r="T210" s="59"/>
      <c r="U210" s="59"/>
      <c r="V210" s="59"/>
      <c r="W210" s="59"/>
      <c r="X210" s="59"/>
      <c r="Y210" s="59"/>
      <c r="Z210" s="59"/>
      <c r="AA210" s="59"/>
      <c r="AB210" s="59"/>
      <c r="AC210" s="59"/>
      <c r="AD210" s="59"/>
      <c r="AE210" s="59"/>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row>
    <row r="211" spans="1:64" ht="12.75">
      <c r="A211" s="7"/>
      <c r="B211" s="7"/>
      <c r="C211" s="7"/>
      <c r="D211" s="7"/>
      <c r="E211" s="7"/>
      <c r="F211" s="7"/>
      <c r="G211" s="7"/>
      <c r="H211" s="7"/>
      <c r="I211" s="7"/>
      <c r="J211" s="7"/>
      <c r="K211" s="7"/>
      <c r="L211" s="7"/>
      <c r="M211" s="7"/>
      <c r="N211" s="59"/>
      <c r="O211" s="59"/>
      <c r="P211" s="59"/>
      <c r="Q211" s="59"/>
      <c r="R211" s="59"/>
      <c r="S211" s="59"/>
      <c r="T211" s="59"/>
      <c r="U211" s="59"/>
      <c r="V211" s="59"/>
      <c r="W211" s="59"/>
      <c r="X211" s="59"/>
      <c r="Y211" s="59"/>
      <c r="Z211" s="59"/>
      <c r="AA211" s="59"/>
      <c r="AB211" s="59"/>
      <c r="AC211" s="59"/>
      <c r="AD211" s="59"/>
      <c r="AE211" s="59"/>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row>
    <row r="212" spans="1:64" ht="12.75">
      <c r="A212" s="7"/>
      <c r="B212" s="7"/>
      <c r="C212" s="7"/>
      <c r="D212" s="7"/>
      <c r="E212" s="7"/>
      <c r="F212" s="7"/>
      <c r="G212" s="7"/>
      <c r="H212" s="7"/>
      <c r="I212" s="7"/>
      <c r="J212" s="7"/>
      <c r="K212" s="7"/>
      <c r="L212" s="7"/>
      <c r="M212" s="7"/>
      <c r="N212" s="59"/>
      <c r="O212" s="59"/>
      <c r="P212" s="59"/>
      <c r="Q212" s="59"/>
      <c r="R212" s="59"/>
      <c r="S212" s="59"/>
      <c r="T212" s="59"/>
      <c r="U212" s="59"/>
      <c r="V212" s="59"/>
      <c r="W212" s="59"/>
      <c r="X212" s="59"/>
      <c r="Y212" s="59"/>
      <c r="Z212" s="59"/>
      <c r="AA212" s="59"/>
      <c r="AB212" s="59"/>
      <c r="AC212" s="59"/>
      <c r="AD212" s="59"/>
      <c r="AE212" s="59"/>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row>
    <row r="213" spans="1:64" ht="12.75">
      <c r="A213" s="7"/>
      <c r="B213" s="7"/>
      <c r="C213" s="7"/>
      <c r="D213" s="7"/>
      <c r="E213" s="7"/>
      <c r="F213" s="7"/>
      <c r="G213" s="7"/>
      <c r="H213" s="7"/>
      <c r="I213" s="7"/>
      <c r="J213" s="7"/>
      <c r="K213" s="7"/>
      <c r="L213" s="7"/>
      <c r="M213" s="7"/>
      <c r="N213" s="59"/>
      <c r="O213" s="59"/>
      <c r="P213" s="59"/>
      <c r="Q213" s="59"/>
      <c r="R213" s="59"/>
      <c r="S213" s="59"/>
      <c r="T213" s="59"/>
      <c r="U213" s="59"/>
      <c r="V213" s="59"/>
      <c r="W213" s="59"/>
      <c r="X213" s="59"/>
      <c r="Y213" s="59"/>
      <c r="Z213" s="59"/>
      <c r="AA213" s="59"/>
      <c r="AB213" s="59"/>
      <c r="AC213" s="59"/>
      <c r="AD213" s="59"/>
      <c r="AE213" s="59"/>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row>
    <row r="214" spans="1:64" ht="12.75">
      <c r="A214" s="7"/>
      <c r="B214" s="7"/>
      <c r="C214" s="7"/>
      <c r="D214" s="7"/>
      <c r="E214" s="7"/>
      <c r="F214" s="7"/>
      <c r="G214" s="7"/>
      <c r="H214" s="7"/>
      <c r="I214" s="7"/>
      <c r="J214" s="7"/>
      <c r="K214" s="7"/>
      <c r="L214" s="7"/>
      <c r="M214" s="7"/>
      <c r="N214" s="59"/>
      <c r="O214" s="59"/>
      <c r="P214" s="59"/>
      <c r="Q214" s="59"/>
      <c r="R214" s="59"/>
      <c r="S214" s="59"/>
      <c r="T214" s="59"/>
      <c r="U214" s="59"/>
      <c r="V214" s="59"/>
      <c r="W214" s="59"/>
      <c r="X214" s="59"/>
      <c r="Y214" s="59"/>
      <c r="Z214" s="59"/>
      <c r="AA214" s="59"/>
      <c r="AB214" s="59"/>
      <c r="AC214" s="59"/>
      <c r="AD214" s="59"/>
      <c r="AE214" s="59"/>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row>
    <row r="215" spans="1:64" ht="12.75">
      <c r="A215" s="7"/>
      <c r="B215" s="7"/>
      <c r="C215" s="7"/>
      <c r="D215" s="7"/>
      <c r="E215" s="7"/>
      <c r="F215" s="7"/>
      <c r="G215" s="7"/>
      <c r="H215" s="7"/>
      <c r="I215" s="7"/>
      <c r="J215" s="7"/>
      <c r="K215" s="7"/>
      <c r="L215" s="7"/>
      <c r="M215" s="7"/>
      <c r="N215" s="59"/>
      <c r="O215" s="59"/>
      <c r="P215" s="59"/>
      <c r="Q215" s="59"/>
      <c r="R215" s="59"/>
      <c r="S215" s="59"/>
      <c r="T215" s="59"/>
      <c r="U215" s="59"/>
      <c r="V215" s="59"/>
      <c r="W215" s="59"/>
      <c r="X215" s="59"/>
      <c r="Y215" s="59"/>
      <c r="Z215" s="59"/>
      <c r="AA215" s="59"/>
      <c r="AB215" s="59"/>
      <c r="AC215" s="59"/>
      <c r="AD215" s="59"/>
      <c r="AE215" s="59"/>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row>
    <row r="216" spans="1:64" ht="12.75">
      <c r="A216" s="7"/>
      <c r="B216" s="7"/>
      <c r="C216" s="7"/>
      <c r="D216" s="7"/>
      <c r="E216" s="7"/>
      <c r="F216" s="7"/>
      <c r="G216" s="7"/>
      <c r="H216" s="7"/>
      <c r="I216" s="7"/>
      <c r="J216" s="7"/>
      <c r="K216" s="7"/>
      <c r="L216" s="7"/>
      <c r="M216" s="7"/>
      <c r="N216" s="59"/>
      <c r="O216" s="59"/>
      <c r="P216" s="59"/>
      <c r="Q216" s="59"/>
      <c r="R216" s="59"/>
      <c r="S216" s="59"/>
      <c r="T216" s="59"/>
      <c r="U216" s="59"/>
      <c r="V216" s="59"/>
      <c r="W216" s="59"/>
      <c r="X216" s="59"/>
      <c r="Y216" s="59"/>
      <c r="Z216" s="59"/>
      <c r="AA216" s="59"/>
      <c r="AB216" s="59"/>
      <c r="AC216" s="59"/>
      <c r="AD216" s="59"/>
      <c r="AE216" s="59"/>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row>
    <row r="217" spans="1:64" ht="12.75">
      <c r="A217" s="7"/>
      <c r="B217" s="7"/>
      <c r="C217" s="7"/>
      <c r="D217" s="7"/>
      <c r="E217" s="7"/>
      <c r="F217" s="7"/>
      <c r="G217" s="7"/>
      <c r="H217" s="7"/>
      <c r="I217" s="7"/>
      <c r="J217" s="7"/>
      <c r="K217" s="7"/>
      <c r="L217" s="7"/>
      <c r="M217" s="7"/>
      <c r="N217" s="59"/>
      <c r="O217" s="59"/>
      <c r="P217" s="59"/>
      <c r="Q217" s="59"/>
      <c r="R217" s="59"/>
      <c r="S217" s="59"/>
      <c r="T217" s="59"/>
      <c r="U217" s="59"/>
      <c r="V217" s="59"/>
      <c r="W217" s="59"/>
      <c r="X217" s="59"/>
      <c r="Y217" s="59"/>
      <c r="Z217" s="59"/>
      <c r="AA217" s="59"/>
      <c r="AB217" s="59"/>
      <c r="AC217" s="59"/>
      <c r="AD217" s="59"/>
      <c r="AE217" s="59"/>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row>
    <row r="218" spans="1:64" ht="12.75">
      <c r="A218" s="7"/>
      <c r="B218" s="7"/>
      <c r="C218" s="7"/>
      <c r="D218" s="7"/>
      <c r="E218" s="7"/>
      <c r="F218" s="7"/>
      <c r="G218" s="7"/>
      <c r="H218" s="7"/>
      <c r="I218" s="7"/>
      <c r="J218" s="7"/>
      <c r="K218" s="7"/>
      <c r="L218" s="7"/>
      <c r="M218" s="7"/>
      <c r="N218" s="59"/>
      <c r="O218" s="59"/>
      <c r="P218" s="59"/>
      <c r="Q218" s="59"/>
      <c r="R218" s="59"/>
      <c r="S218" s="59"/>
      <c r="T218" s="59"/>
      <c r="U218" s="59"/>
      <c r="V218" s="59"/>
      <c r="W218" s="59"/>
      <c r="X218" s="59"/>
      <c r="Y218" s="59"/>
      <c r="Z218" s="59"/>
      <c r="AA218" s="59"/>
      <c r="AB218" s="59"/>
      <c r="AC218" s="59"/>
      <c r="AD218" s="59"/>
      <c r="AE218" s="59"/>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c r="BJ218" s="7"/>
      <c r="BK218" s="7"/>
      <c r="BL218" s="7"/>
    </row>
    <row r="219" spans="1:64" ht="12.75">
      <c r="A219" s="7"/>
      <c r="B219" s="7"/>
      <c r="C219" s="7"/>
      <c r="D219" s="7"/>
      <c r="E219" s="7"/>
      <c r="F219" s="7"/>
      <c r="G219" s="7"/>
      <c r="H219" s="7"/>
      <c r="I219" s="7"/>
      <c r="J219" s="7"/>
      <c r="K219" s="7"/>
      <c r="L219" s="7"/>
      <c r="M219" s="7"/>
      <c r="N219" s="59"/>
      <c r="O219" s="59"/>
      <c r="P219" s="59"/>
      <c r="Q219" s="59"/>
      <c r="R219" s="59"/>
      <c r="S219" s="59"/>
      <c r="T219" s="59"/>
      <c r="U219" s="59"/>
      <c r="V219" s="59"/>
      <c r="W219" s="59"/>
      <c r="X219" s="59"/>
      <c r="Y219" s="59"/>
      <c r="Z219" s="59"/>
      <c r="AA219" s="59"/>
      <c r="AB219" s="59"/>
      <c r="AC219" s="59"/>
      <c r="AD219" s="59"/>
      <c r="AE219" s="59"/>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c r="BJ219" s="7"/>
      <c r="BK219" s="7"/>
      <c r="BL219" s="7"/>
    </row>
    <row r="220" spans="1:64" ht="12.75">
      <c r="A220" s="7"/>
      <c r="B220" s="7"/>
      <c r="C220" s="7"/>
      <c r="D220" s="7"/>
      <c r="E220" s="7"/>
      <c r="F220" s="7"/>
      <c r="G220" s="7"/>
      <c r="H220" s="7"/>
      <c r="I220" s="7"/>
      <c r="J220" s="7"/>
      <c r="K220" s="7"/>
      <c r="L220" s="7"/>
      <c r="M220" s="7"/>
      <c r="N220" s="59"/>
      <c r="O220" s="59"/>
      <c r="P220" s="59"/>
      <c r="Q220" s="59"/>
      <c r="R220" s="59"/>
      <c r="S220" s="59"/>
      <c r="T220" s="59"/>
      <c r="U220" s="59"/>
      <c r="V220" s="59"/>
      <c r="W220" s="59"/>
      <c r="X220" s="59"/>
      <c r="Y220" s="59"/>
      <c r="Z220" s="59"/>
      <c r="AA220" s="59"/>
      <c r="AB220" s="59"/>
      <c r="AC220" s="59"/>
      <c r="AD220" s="59"/>
      <c r="AE220" s="59"/>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c r="BJ220" s="7"/>
      <c r="BK220" s="7"/>
      <c r="BL220" s="7"/>
    </row>
    <row r="221" spans="1:64" ht="12.75">
      <c r="A221" s="7"/>
      <c r="B221" s="7"/>
      <c r="C221" s="7"/>
      <c r="D221" s="7"/>
      <c r="E221" s="7"/>
      <c r="F221" s="7"/>
      <c r="G221" s="7"/>
      <c r="H221" s="7"/>
      <c r="I221" s="7"/>
      <c r="J221" s="7"/>
      <c r="K221" s="7"/>
      <c r="L221" s="7"/>
      <c r="M221" s="7"/>
      <c r="N221" s="59"/>
      <c r="O221" s="59"/>
      <c r="P221" s="59"/>
      <c r="Q221" s="59"/>
      <c r="R221" s="59"/>
      <c r="S221" s="59"/>
      <c r="T221" s="59"/>
      <c r="U221" s="59"/>
      <c r="V221" s="59"/>
      <c r="W221" s="59"/>
      <c r="X221" s="59"/>
      <c r="Y221" s="59"/>
      <c r="Z221" s="59"/>
      <c r="AA221" s="59"/>
      <c r="AB221" s="59"/>
      <c r="AC221" s="59"/>
      <c r="AD221" s="59"/>
      <c r="AE221" s="59"/>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row>
    <row r="222" spans="1:64" ht="12.75">
      <c r="A222" s="7"/>
      <c r="B222" s="7"/>
      <c r="C222" s="7"/>
      <c r="D222" s="7"/>
      <c r="E222" s="7"/>
      <c r="F222" s="7"/>
      <c r="G222" s="7"/>
      <c r="H222" s="7"/>
      <c r="I222" s="7"/>
      <c r="J222" s="7"/>
      <c r="K222" s="7"/>
      <c r="L222" s="7"/>
      <c r="M222" s="7"/>
      <c r="N222" s="59"/>
      <c r="O222" s="59"/>
      <c r="P222" s="59"/>
      <c r="Q222" s="59"/>
      <c r="R222" s="59"/>
      <c r="S222" s="59"/>
      <c r="T222" s="59"/>
      <c r="U222" s="59"/>
      <c r="V222" s="59"/>
      <c r="W222" s="59"/>
      <c r="X222" s="59"/>
      <c r="Y222" s="59"/>
      <c r="Z222" s="59"/>
      <c r="AA222" s="59"/>
      <c r="AB222" s="59"/>
      <c r="AC222" s="59"/>
      <c r="AD222" s="59"/>
      <c r="AE222" s="59"/>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c r="BJ222" s="7"/>
      <c r="BK222" s="7"/>
      <c r="BL222" s="7"/>
    </row>
    <row r="223" spans="1:64" ht="12.75">
      <c r="A223" s="7"/>
      <c r="B223" s="7"/>
      <c r="C223" s="7"/>
      <c r="D223" s="7"/>
      <c r="E223" s="7"/>
      <c r="F223" s="7"/>
      <c r="G223" s="7"/>
      <c r="H223" s="7"/>
      <c r="I223" s="7"/>
      <c r="J223" s="7"/>
      <c r="K223" s="7"/>
      <c r="L223" s="7"/>
      <c r="M223" s="7"/>
      <c r="N223" s="59"/>
      <c r="O223" s="59"/>
      <c r="P223" s="59"/>
      <c r="Q223" s="59"/>
      <c r="R223" s="59"/>
      <c r="S223" s="59"/>
      <c r="T223" s="59"/>
      <c r="U223" s="59"/>
      <c r="V223" s="59"/>
      <c r="W223" s="59"/>
      <c r="X223" s="59"/>
      <c r="Y223" s="59"/>
      <c r="Z223" s="59"/>
      <c r="AA223" s="59"/>
      <c r="AB223" s="59"/>
      <c r="AC223" s="59"/>
      <c r="AD223" s="59"/>
      <c r="AE223" s="59"/>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c r="BJ223" s="7"/>
      <c r="BK223" s="7"/>
      <c r="BL223" s="7"/>
    </row>
    <row r="224" spans="1:64" ht="12.75">
      <c r="A224" s="7"/>
      <c r="B224" s="7"/>
      <c r="C224" s="7"/>
      <c r="D224" s="7"/>
      <c r="E224" s="7"/>
      <c r="F224" s="7"/>
      <c r="G224" s="7"/>
      <c r="H224" s="7"/>
      <c r="I224" s="7"/>
      <c r="J224" s="7"/>
      <c r="K224" s="7"/>
      <c r="L224" s="7"/>
      <c r="M224" s="7"/>
      <c r="N224" s="59"/>
      <c r="O224" s="59"/>
      <c r="P224" s="59"/>
      <c r="Q224" s="59"/>
      <c r="R224" s="59"/>
      <c r="S224" s="59"/>
      <c r="T224" s="59"/>
      <c r="U224" s="59"/>
      <c r="V224" s="59"/>
      <c r="W224" s="59"/>
      <c r="X224" s="59"/>
      <c r="Y224" s="59"/>
      <c r="Z224" s="59"/>
      <c r="AA224" s="59"/>
      <c r="AB224" s="59"/>
      <c r="AC224" s="59"/>
      <c r="AD224" s="59"/>
      <c r="AE224" s="59"/>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row>
    <row r="225" spans="1:64" ht="12.75">
      <c r="A225" s="7"/>
      <c r="B225" s="7"/>
      <c r="C225" s="7"/>
      <c r="D225" s="7"/>
      <c r="E225" s="7"/>
      <c r="F225" s="7"/>
      <c r="G225" s="7"/>
      <c r="H225" s="7"/>
      <c r="I225" s="7"/>
      <c r="J225" s="7"/>
      <c r="K225" s="7"/>
      <c r="L225" s="7"/>
      <c r="M225" s="7"/>
      <c r="N225" s="59"/>
      <c r="O225" s="59"/>
      <c r="P225" s="59"/>
      <c r="Q225" s="59"/>
      <c r="R225" s="59"/>
      <c r="S225" s="59"/>
      <c r="T225" s="59"/>
      <c r="U225" s="59"/>
      <c r="V225" s="59"/>
      <c r="W225" s="59"/>
      <c r="X225" s="59"/>
      <c r="Y225" s="59"/>
      <c r="Z225" s="59"/>
      <c r="AA225" s="59"/>
      <c r="AB225" s="59"/>
      <c r="AC225" s="59"/>
      <c r="AD225" s="59"/>
      <c r="AE225" s="59"/>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row>
    <row r="226" spans="1:64" ht="12.75">
      <c r="A226" s="7"/>
      <c r="B226" s="7"/>
      <c r="C226" s="7"/>
      <c r="D226" s="7"/>
      <c r="E226" s="7"/>
      <c r="F226" s="7"/>
      <c r="G226" s="7"/>
      <c r="H226" s="7"/>
      <c r="I226" s="7"/>
      <c r="J226" s="7"/>
      <c r="K226" s="7"/>
      <c r="L226" s="7"/>
      <c r="M226" s="7"/>
      <c r="N226" s="59"/>
      <c r="O226" s="59"/>
      <c r="P226" s="59"/>
      <c r="Q226" s="59"/>
      <c r="R226" s="59"/>
      <c r="S226" s="59"/>
      <c r="T226" s="59"/>
      <c r="U226" s="59"/>
      <c r="V226" s="59"/>
      <c r="W226" s="59"/>
      <c r="X226" s="59"/>
      <c r="Y226" s="59"/>
      <c r="Z226" s="59"/>
      <c r="AA226" s="59"/>
      <c r="AB226" s="59"/>
      <c r="AC226" s="59"/>
      <c r="AD226" s="59"/>
      <c r="AE226" s="59"/>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c r="BJ226" s="7"/>
      <c r="BK226" s="7"/>
      <c r="BL226" s="7"/>
    </row>
    <row r="227" spans="1:64" ht="12.75">
      <c r="A227" s="7"/>
      <c r="B227" s="7"/>
      <c r="C227" s="7"/>
      <c r="D227" s="7"/>
      <c r="E227" s="7"/>
      <c r="F227" s="7"/>
      <c r="G227" s="7"/>
      <c r="H227" s="7"/>
      <c r="I227" s="7"/>
      <c r="J227" s="7"/>
      <c r="K227" s="7"/>
      <c r="L227" s="7"/>
      <c r="M227" s="7"/>
      <c r="N227" s="59"/>
      <c r="O227" s="59"/>
      <c r="P227" s="59"/>
      <c r="Q227" s="59"/>
      <c r="R227" s="59"/>
      <c r="S227" s="59"/>
      <c r="T227" s="59"/>
      <c r="U227" s="59"/>
      <c r="V227" s="59"/>
      <c r="W227" s="59"/>
      <c r="X227" s="59"/>
      <c r="Y227" s="59"/>
      <c r="Z227" s="59"/>
      <c r="AA227" s="59"/>
      <c r="AB227" s="59"/>
      <c r="AC227" s="59"/>
      <c r="AD227" s="59"/>
      <c r="AE227" s="59"/>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c r="BJ227" s="7"/>
      <c r="BK227" s="7"/>
      <c r="BL227" s="7"/>
    </row>
    <row r="228" spans="1:64" ht="12.75">
      <c r="A228" s="7"/>
      <c r="B228" s="7"/>
      <c r="C228" s="7"/>
      <c r="D228" s="7"/>
      <c r="E228" s="7"/>
      <c r="F228" s="7"/>
      <c r="G228" s="7"/>
      <c r="H228" s="7"/>
      <c r="I228" s="7"/>
      <c r="J228" s="7"/>
      <c r="K228" s="7"/>
      <c r="L228" s="7"/>
      <c r="M228" s="7"/>
      <c r="N228" s="59"/>
      <c r="O228" s="59"/>
      <c r="P228" s="59"/>
      <c r="Q228" s="59"/>
      <c r="R228" s="59"/>
      <c r="S228" s="59"/>
      <c r="T228" s="59"/>
      <c r="U228" s="59"/>
      <c r="V228" s="59"/>
      <c r="W228" s="59"/>
      <c r="X228" s="59"/>
      <c r="Y228" s="59"/>
      <c r="Z228" s="59"/>
      <c r="AA228" s="59"/>
      <c r="AB228" s="59"/>
      <c r="AC228" s="59"/>
      <c r="AD228" s="59"/>
      <c r="AE228" s="59"/>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c r="BJ228" s="7"/>
      <c r="BK228" s="7"/>
      <c r="BL228" s="7"/>
    </row>
    <row r="229" spans="1:64" ht="12.75">
      <c r="A229" s="7"/>
      <c r="B229" s="7"/>
      <c r="C229" s="7"/>
      <c r="D229" s="7"/>
      <c r="E229" s="7"/>
      <c r="F229" s="7"/>
      <c r="G229" s="7"/>
      <c r="H229" s="7"/>
      <c r="I229" s="7"/>
      <c r="J229" s="7"/>
      <c r="K229" s="7"/>
      <c r="L229" s="7"/>
      <c r="M229" s="7"/>
      <c r="N229" s="59"/>
      <c r="O229" s="59"/>
      <c r="P229" s="59"/>
      <c r="Q229" s="59"/>
      <c r="R229" s="59"/>
      <c r="S229" s="59"/>
      <c r="T229" s="59"/>
      <c r="U229" s="59"/>
      <c r="V229" s="59"/>
      <c r="W229" s="59"/>
      <c r="X229" s="59"/>
      <c r="Y229" s="59"/>
      <c r="Z229" s="59"/>
      <c r="AA229" s="59"/>
      <c r="AB229" s="59"/>
      <c r="AC229" s="59"/>
      <c r="AD229" s="59"/>
      <c r="AE229" s="59"/>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c r="BJ229" s="7"/>
      <c r="BK229" s="7"/>
      <c r="BL229" s="7"/>
    </row>
    <row r="230" spans="1:64" ht="12.75">
      <c r="A230" s="7"/>
      <c r="B230" s="7"/>
      <c r="C230" s="7"/>
      <c r="D230" s="7"/>
      <c r="E230" s="7"/>
      <c r="F230" s="7"/>
      <c r="G230" s="7"/>
      <c r="H230" s="7"/>
      <c r="I230" s="7"/>
      <c r="J230" s="7"/>
      <c r="K230" s="7"/>
      <c r="L230" s="7"/>
      <c r="M230" s="7"/>
      <c r="N230" s="59"/>
      <c r="O230" s="59"/>
      <c r="P230" s="59"/>
      <c r="Q230" s="59"/>
      <c r="R230" s="59"/>
      <c r="S230" s="59"/>
      <c r="T230" s="59"/>
      <c r="U230" s="59"/>
      <c r="V230" s="59"/>
      <c r="W230" s="59"/>
      <c r="X230" s="59"/>
      <c r="Y230" s="59"/>
      <c r="Z230" s="59"/>
      <c r="AA230" s="59"/>
      <c r="AB230" s="59"/>
      <c r="AC230" s="59"/>
      <c r="AD230" s="59"/>
      <c r="AE230" s="59"/>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row>
    <row r="231" spans="1:64" ht="12.75">
      <c r="A231" s="7"/>
      <c r="B231" s="7"/>
      <c r="C231" s="7"/>
      <c r="D231" s="7"/>
      <c r="E231" s="7"/>
      <c r="F231" s="7"/>
      <c r="G231" s="7"/>
      <c r="H231" s="7"/>
      <c r="I231" s="7"/>
      <c r="J231" s="7"/>
      <c r="K231" s="7"/>
      <c r="L231" s="7"/>
      <c r="M231" s="7"/>
      <c r="N231" s="59"/>
      <c r="O231" s="59"/>
      <c r="P231" s="59"/>
      <c r="Q231" s="59"/>
      <c r="R231" s="59"/>
      <c r="S231" s="59"/>
      <c r="T231" s="59"/>
      <c r="U231" s="59"/>
      <c r="V231" s="59"/>
      <c r="W231" s="59"/>
      <c r="X231" s="59"/>
      <c r="Y231" s="59"/>
      <c r="Z231" s="59"/>
      <c r="AA231" s="59"/>
      <c r="AB231" s="59"/>
      <c r="AC231" s="59"/>
      <c r="AD231" s="59"/>
      <c r="AE231" s="59"/>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c r="BJ231" s="7"/>
      <c r="BK231" s="7"/>
      <c r="BL231" s="7"/>
    </row>
    <row r="232" spans="1:64" ht="12.75">
      <c r="A232" s="7"/>
      <c r="B232" s="7"/>
      <c r="C232" s="7"/>
      <c r="D232" s="7"/>
      <c r="E232" s="7"/>
      <c r="F232" s="7"/>
      <c r="G232" s="7"/>
      <c r="H232" s="7"/>
      <c r="I232" s="7"/>
      <c r="J232" s="7"/>
      <c r="K232" s="7"/>
      <c r="L232" s="7"/>
      <c r="M232" s="7"/>
      <c r="N232" s="59"/>
      <c r="O232" s="59"/>
      <c r="P232" s="59"/>
      <c r="Q232" s="59"/>
      <c r="R232" s="59"/>
      <c r="S232" s="59"/>
      <c r="T232" s="59"/>
      <c r="U232" s="59"/>
      <c r="V232" s="59"/>
      <c r="W232" s="59"/>
      <c r="X232" s="59"/>
      <c r="Y232" s="59"/>
      <c r="Z232" s="59"/>
      <c r="AA232" s="59"/>
      <c r="AB232" s="59"/>
      <c r="AC232" s="59"/>
      <c r="AD232" s="59"/>
      <c r="AE232" s="59"/>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c r="BJ232" s="7"/>
      <c r="BK232" s="7"/>
      <c r="BL232" s="7"/>
    </row>
    <row r="233" spans="1:64" ht="12.75">
      <c r="A233" s="7"/>
      <c r="B233" s="7"/>
      <c r="C233" s="7"/>
      <c r="D233" s="7"/>
      <c r="E233" s="7"/>
      <c r="F233" s="7"/>
      <c r="G233" s="7"/>
      <c r="H233" s="7"/>
      <c r="I233" s="7"/>
      <c r="J233" s="7"/>
      <c r="K233" s="7"/>
      <c r="L233" s="7"/>
      <c r="M233" s="7"/>
      <c r="N233" s="59"/>
      <c r="O233" s="59"/>
      <c r="P233" s="59"/>
      <c r="Q233" s="59"/>
      <c r="R233" s="59"/>
      <c r="S233" s="59"/>
      <c r="T233" s="59"/>
      <c r="U233" s="59"/>
      <c r="V233" s="59"/>
      <c r="W233" s="59"/>
      <c r="X233" s="59"/>
      <c r="Y233" s="59"/>
      <c r="Z233" s="59"/>
      <c r="AA233" s="59"/>
      <c r="AB233" s="59"/>
      <c r="AC233" s="59"/>
      <c r="AD233" s="59"/>
      <c r="AE233" s="59"/>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row>
    <row r="234" spans="1:64" ht="12.75">
      <c r="A234" s="7"/>
      <c r="B234" s="7"/>
      <c r="C234" s="7"/>
      <c r="D234" s="7"/>
      <c r="E234" s="7"/>
      <c r="F234" s="7"/>
      <c r="G234" s="7"/>
      <c r="H234" s="7"/>
      <c r="I234" s="7"/>
      <c r="J234" s="7"/>
      <c r="K234" s="7"/>
      <c r="L234" s="7"/>
      <c r="M234" s="7"/>
      <c r="N234" s="59"/>
      <c r="O234" s="59"/>
      <c r="P234" s="59"/>
      <c r="Q234" s="59"/>
      <c r="R234" s="59"/>
      <c r="S234" s="59"/>
      <c r="T234" s="59"/>
      <c r="U234" s="59"/>
      <c r="V234" s="59"/>
      <c r="W234" s="59"/>
      <c r="X234" s="59"/>
      <c r="Y234" s="59"/>
      <c r="Z234" s="59"/>
      <c r="AA234" s="59"/>
      <c r="AB234" s="59"/>
      <c r="AC234" s="59"/>
      <c r="AD234" s="59"/>
      <c r="AE234" s="59"/>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row>
    <row r="235" spans="1:64" ht="12.75">
      <c r="A235" s="7"/>
      <c r="B235" s="7"/>
      <c r="C235" s="7"/>
      <c r="D235" s="7"/>
      <c r="E235" s="7"/>
      <c r="F235" s="7"/>
      <c r="G235" s="7"/>
      <c r="H235" s="7"/>
      <c r="I235" s="7"/>
      <c r="J235" s="7"/>
      <c r="K235" s="7"/>
      <c r="L235" s="7"/>
      <c r="M235" s="7"/>
      <c r="N235" s="59"/>
      <c r="O235" s="59"/>
      <c r="P235" s="59"/>
      <c r="Q235" s="59"/>
      <c r="R235" s="59"/>
      <c r="S235" s="59"/>
      <c r="T235" s="59"/>
      <c r="U235" s="59"/>
      <c r="V235" s="59"/>
      <c r="W235" s="59"/>
      <c r="X235" s="59"/>
      <c r="Y235" s="59"/>
      <c r="Z235" s="59"/>
      <c r="AA235" s="59"/>
      <c r="AB235" s="59"/>
      <c r="AC235" s="59"/>
      <c r="AD235" s="59"/>
      <c r="AE235" s="59"/>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c r="BJ235" s="7"/>
      <c r="BK235" s="7"/>
      <c r="BL235" s="7"/>
    </row>
    <row r="236" spans="1:64" ht="12.75">
      <c r="A236" s="7"/>
      <c r="B236" s="7"/>
      <c r="C236" s="7"/>
      <c r="D236" s="7"/>
      <c r="E236" s="7"/>
      <c r="F236" s="7"/>
      <c r="G236" s="7"/>
      <c r="H236" s="7"/>
      <c r="I236" s="7"/>
      <c r="J236" s="7"/>
      <c r="K236" s="7"/>
      <c r="L236" s="7"/>
      <c r="M236" s="7"/>
      <c r="N236" s="59"/>
      <c r="O236" s="59"/>
      <c r="P236" s="59"/>
      <c r="Q236" s="59"/>
      <c r="R236" s="59"/>
      <c r="S236" s="59"/>
      <c r="T236" s="59"/>
      <c r="U236" s="59"/>
      <c r="V236" s="59"/>
      <c r="W236" s="59"/>
      <c r="X236" s="59"/>
      <c r="Y236" s="59"/>
      <c r="Z236" s="59"/>
      <c r="AA236" s="59"/>
      <c r="AB236" s="59"/>
      <c r="AC236" s="59"/>
      <c r="AD236" s="59"/>
      <c r="AE236" s="59"/>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c r="BJ236" s="7"/>
      <c r="BK236" s="7"/>
      <c r="BL236" s="7"/>
    </row>
    <row r="237" spans="1:64" ht="12.75">
      <c r="A237" s="7"/>
      <c r="B237" s="7"/>
      <c r="C237" s="7"/>
      <c r="D237" s="7"/>
      <c r="E237" s="7"/>
      <c r="F237" s="7"/>
      <c r="G237" s="7"/>
      <c r="H237" s="7"/>
      <c r="I237" s="7"/>
      <c r="J237" s="7"/>
      <c r="K237" s="7"/>
      <c r="L237" s="7"/>
      <c r="M237" s="7"/>
      <c r="N237" s="59"/>
      <c r="O237" s="59"/>
      <c r="P237" s="59"/>
      <c r="Q237" s="59"/>
      <c r="R237" s="59"/>
      <c r="S237" s="59"/>
      <c r="T237" s="59"/>
      <c r="U237" s="59"/>
      <c r="V237" s="59"/>
      <c r="W237" s="59"/>
      <c r="X237" s="59"/>
      <c r="Y237" s="59"/>
      <c r="Z237" s="59"/>
      <c r="AA237" s="59"/>
      <c r="AB237" s="59"/>
      <c r="AC237" s="59"/>
      <c r="AD237" s="59"/>
      <c r="AE237" s="59"/>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row>
    <row r="238" spans="1:64" ht="12.75">
      <c r="A238" s="7"/>
      <c r="B238" s="7"/>
      <c r="C238" s="7"/>
      <c r="D238" s="7"/>
      <c r="E238" s="7"/>
      <c r="F238" s="7"/>
      <c r="G238" s="7"/>
      <c r="H238" s="7"/>
      <c r="I238" s="7"/>
      <c r="J238" s="7"/>
      <c r="K238" s="7"/>
      <c r="L238" s="7"/>
      <c r="M238" s="7"/>
      <c r="N238" s="59"/>
      <c r="O238" s="59"/>
      <c r="P238" s="59"/>
      <c r="Q238" s="59"/>
      <c r="R238" s="59"/>
      <c r="S238" s="59"/>
      <c r="T238" s="59"/>
      <c r="U238" s="59"/>
      <c r="V238" s="59"/>
      <c r="W238" s="59"/>
      <c r="X238" s="59"/>
      <c r="Y238" s="59"/>
      <c r="Z238" s="59"/>
      <c r="AA238" s="59"/>
      <c r="AB238" s="59"/>
      <c r="AC238" s="59"/>
      <c r="AD238" s="59"/>
      <c r="AE238" s="59"/>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c r="BJ238" s="7"/>
      <c r="BK238" s="7"/>
      <c r="BL238" s="7"/>
    </row>
    <row r="239" spans="1:64" ht="12.75">
      <c r="A239" s="7"/>
      <c r="B239" s="7"/>
      <c r="C239" s="7"/>
      <c r="D239" s="7"/>
      <c r="E239" s="7"/>
      <c r="F239" s="7"/>
      <c r="G239" s="7"/>
      <c r="H239" s="7"/>
      <c r="I239" s="7"/>
      <c r="J239" s="7"/>
      <c r="K239" s="7"/>
      <c r="L239" s="7"/>
      <c r="M239" s="7"/>
      <c r="N239" s="59"/>
      <c r="O239" s="59"/>
      <c r="P239" s="59"/>
      <c r="Q239" s="59"/>
      <c r="R239" s="59"/>
      <c r="S239" s="59"/>
      <c r="T239" s="59"/>
      <c r="U239" s="59"/>
      <c r="V239" s="59"/>
      <c r="W239" s="59"/>
      <c r="X239" s="59"/>
      <c r="Y239" s="59"/>
      <c r="Z239" s="59"/>
      <c r="AA239" s="59"/>
      <c r="AB239" s="59"/>
      <c r="AC239" s="59"/>
      <c r="AD239" s="59"/>
      <c r="AE239" s="59"/>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c r="BJ239" s="7"/>
      <c r="BK239" s="7"/>
      <c r="BL239" s="7"/>
    </row>
    <row r="240" spans="1:64" ht="12.75">
      <c r="A240" s="7"/>
      <c r="B240" s="7"/>
      <c r="C240" s="7"/>
      <c r="D240" s="7"/>
      <c r="E240" s="7"/>
      <c r="F240" s="7"/>
      <c r="G240" s="7"/>
      <c r="H240" s="7"/>
      <c r="I240" s="7"/>
      <c r="J240" s="7"/>
      <c r="K240" s="7"/>
      <c r="L240" s="7"/>
      <c r="M240" s="7"/>
      <c r="N240" s="59"/>
      <c r="O240" s="59"/>
      <c r="P240" s="59"/>
      <c r="Q240" s="59"/>
      <c r="R240" s="59"/>
      <c r="S240" s="59"/>
      <c r="T240" s="59"/>
      <c r="U240" s="59"/>
      <c r="V240" s="59"/>
      <c r="W240" s="59"/>
      <c r="X240" s="59"/>
      <c r="Y240" s="59"/>
      <c r="Z240" s="59"/>
      <c r="AA240" s="59"/>
      <c r="AB240" s="59"/>
      <c r="AC240" s="59"/>
      <c r="AD240" s="59"/>
      <c r="AE240" s="59"/>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c r="BJ240" s="7"/>
      <c r="BK240" s="7"/>
      <c r="BL240" s="7"/>
    </row>
    <row r="241" spans="1:64" ht="12.75">
      <c r="A241" s="7"/>
      <c r="B241" s="7"/>
      <c r="C241" s="7"/>
      <c r="D241" s="7"/>
      <c r="E241" s="7"/>
      <c r="F241" s="7"/>
      <c r="G241" s="7"/>
      <c r="H241" s="7"/>
      <c r="I241" s="7"/>
      <c r="J241" s="7"/>
      <c r="K241" s="7"/>
      <c r="L241" s="7"/>
      <c r="M241" s="7"/>
      <c r="N241" s="59"/>
      <c r="O241" s="59"/>
      <c r="P241" s="59"/>
      <c r="Q241" s="59"/>
      <c r="R241" s="59"/>
      <c r="S241" s="59"/>
      <c r="T241" s="59"/>
      <c r="U241" s="59"/>
      <c r="V241" s="59"/>
      <c r="W241" s="59"/>
      <c r="X241" s="59"/>
      <c r="Y241" s="59"/>
      <c r="Z241" s="59"/>
      <c r="AA241" s="59"/>
      <c r="AB241" s="59"/>
      <c r="AC241" s="59"/>
      <c r="AD241" s="59"/>
      <c r="AE241" s="59"/>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row>
    <row r="242" spans="1:64" ht="12.75">
      <c r="A242" s="7"/>
      <c r="B242" s="7"/>
      <c r="C242" s="7"/>
      <c r="D242" s="7"/>
      <c r="E242" s="7"/>
      <c r="F242" s="7"/>
      <c r="G242" s="7"/>
      <c r="H242" s="7"/>
      <c r="I242" s="7"/>
      <c r="J242" s="7"/>
      <c r="K242" s="7"/>
      <c r="L242" s="7"/>
      <c r="M242" s="7"/>
      <c r="N242" s="59"/>
      <c r="O242" s="59"/>
      <c r="P242" s="59"/>
      <c r="Q242" s="59"/>
      <c r="R242" s="59"/>
      <c r="S242" s="59"/>
      <c r="T242" s="59"/>
      <c r="U242" s="59"/>
      <c r="V242" s="59"/>
      <c r="W242" s="59"/>
      <c r="X242" s="59"/>
      <c r="Y242" s="59"/>
      <c r="Z242" s="59"/>
      <c r="AA242" s="59"/>
      <c r="AB242" s="59"/>
      <c r="AC242" s="59"/>
      <c r="AD242" s="59"/>
      <c r="AE242" s="59"/>
      <c r="AF242" s="7"/>
      <c r="AG242" s="7"/>
      <c r="AH242" s="7"/>
      <c r="AI242" s="7"/>
      <c r="AJ242" s="7"/>
      <c r="AK242" s="7"/>
      <c r="AL242" s="7"/>
      <c r="AM242" s="7"/>
      <c r="AN242" s="7"/>
      <c r="AO242" s="7"/>
      <c r="AP242" s="7"/>
      <c r="AQ242" s="7"/>
      <c r="AR242" s="7"/>
      <c r="AS242" s="7"/>
      <c r="AT242" s="7"/>
      <c r="AU242" s="7"/>
      <c r="AV242" s="7"/>
      <c r="AW242" s="7"/>
      <c r="AX242" s="7"/>
      <c r="AY242" s="7"/>
      <c r="AZ242" s="7"/>
      <c r="BA242" s="7"/>
      <c r="BB242" s="7"/>
      <c r="BC242" s="7"/>
      <c r="BD242" s="7"/>
      <c r="BE242" s="7"/>
      <c r="BF242" s="7"/>
      <c r="BG242" s="7"/>
      <c r="BH242" s="7"/>
      <c r="BI242" s="7"/>
      <c r="BJ242" s="7"/>
      <c r="BK242" s="7"/>
      <c r="BL242" s="7"/>
    </row>
    <row r="243" spans="1:64" ht="12.75">
      <c r="A243" s="7"/>
      <c r="B243" s="7"/>
      <c r="C243" s="7"/>
      <c r="D243" s="7"/>
      <c r="E243" s="7"/>
      <c r="F243" s="7"/>
      <c r="G243" s="7"/>
      <c r="H243" s="7"/>
      <c r="I243" s="7"/>
      <c r="J243" s="7"/>
      <c r="K243" s="7"/>
      <c r="L243" s="7"/>
      <c r="M243" s="7"/>
      <c r="N243" s="59"/>
      <c r="O243" s="59"/>
      <c r="P243" s="59"/>
      <c r="Q243" s="59"/>
      <c r="R243" s="59"/>
      <c r="S243" s="59"/>
      <c r="T243" s="59"/>
      <c r="U243" s="59"/>
      <c r="V243" s="59"/>
      <c r="W243" s="59"/>
      <c r="X243" s="59"/>
      <c r="Y243" s="59"/>
      <c r="Z243" s="59"/>
      <c r="AA243" s="59"/>
      <c r="AB243" s="59"/>
      <c r="AC243" s="59"/>
      <c r="AD243" s="59"/>
      <c r="AE243" s="59"/>
      <c r="AF243" s="7"/>
      <c r="AG243" s="7"/>
      <c r="AH243" s="7"/>
      <c r="AI243" s="7"/>
      <c r="AJ243" s="7"/>
      <c r="AK243" s="7"/>
      <c r="AL243" s="7"/>
      <c r="AM243" s="7"/>
      <c r="AN243" s="7"/>
      <c r="AO243" s="7"/>
      <c r="AP243" s="7"/>
      <c r="AQ243" s="7"/>
      <c r="AR243" s="7"/>
      <c r="AS243" s="7"/>
      <c r="AT243" s="7"/>
      <c r="AU243" s="7"/>
      <c r="AV243" s="7"/>
      <c r="AW243" s="7"/>
      <c r="AX243" s="7"/>
      <c r="AY243" s="7"/>
      <c r="AZ243" s="7"/>
      <c r="BA243" s="7"/>
      <c r="BB243" s="7"/>
      <c r="BC243" s="7"/>
      <c r="BD243" s="7"/>
      <c r="BE243" s="7"/>
      <c r="BF243" s="7"/>
      <c r="BG243" s="7"/>
      <c r="BH243" s="7"/>
      <c r="BI243" s="7"/>
      <c r="BJ243" s="7"/>
      <c r="BK243" s="7"/>
      <c r="BL243" s="7"/>
    </row>
    <row r="244" spans="1:64" ht="12.75">
      <c r="A244" s="7"/>
      <c r="B244" s="7"/>
      <c r="C244" s="7"/>
      <c r="D244" s="7"/>
      <c r="E244" s="7"/>
      <c r="F244" s="7"/>
      <c r="G244" s="7"/>
      <c r="H244" s="7"/>
      <c r="I244" s="7"/>
      <c r="J244" s="7"/>
      <c r="K244" s="7"/>
      <c r="L244" s="7"/>
      <c r="M244" s="7"/>
      <c r="N244" s="59"/>
      <c r="O244" s="59"/>
      <c r="P244" s="59"/>
      <c r="Q244" s="59"/>
      <c r="R244" s="59"/>
      <c r="S244" s="59"/>
      <c r="T244" s="59"/>
      <c r="U244" s="59"/>
      <c r="V244" s="59"/>
      <c r="W244" s="59"/>
      <c r="X244" s="59"/>
      <c r="Y244" s="59"/>
      <c r="Z244" s="59"/>
      <c r="AA244" s="59"/>
      <c r="AB244" s="59"/>
      <c r="AC244" s="59"/>
      <c r="AD244" s="59"/>
      <c r="AE244" s="59"/>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7"/>
      <c r="BH244" s="7"/>
      <c r="BI244" s="7"/>
      <c r="BJ244" s="7"/>
      <c r="BK244" s="7"/>
      <c r="BL244" s="7"/>
    </row>
    <row r="245" spans="1:64" ht="12.75">
      <c r="A245" s="7"/>
      <c r="B245" s="7"/>
      <c r="C245" s="7"/>
      <c r="D245" s="7"/>
      <c r="E245" s="7"/>
      <c r="F245" s="7"/>
      <c r="G245" s="7"/>
      <c r="H245" s="7"/>
      <c r="I245" s="7"/>
      <c r="J245" s="7"/>
      <c r="K245" s="7"/>
      <c r="L245" s="7"/>
      <c r="M245" s="7"/>
      <c r="N245" s="59"/>
      <c r="O245" s="59"/>
      <c r="P245" s="59"/>
      <c r="Q245" s="59"/>
      <c r="R245" s="59"/>
      <c r="S245" s="59"/>
      <c r="T245" s="59"/>
      <c r="U245" s="59"/>
      <c r="V245" s="59"/>
      <c r="W245" s="59"/>
      <c r="X245" s="59"/>
      <c r="Y245" s="59"/>
      <c r="Z245" s="59"/>
      <c r="AA245" s="59"/>
      <c r="AB245" s="59"/>
      <c r="AC245" s="59"/>
      <c r="AD245" s="59"/>
      <c r="AE245" s="59"/>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row>
    <row r="246" spans="1:64" ht="12.75">
      <c r="A246" s="7"/>
      <c r="B246" s="7"/>
      <c r="C246" s="7"/>
      <c r="D246" s="7"/>
      <c r="E246" s="7"/>
      <c r="F246" s="7"/>
      <c r="G246" s="7"/>
      <c r="H246" s="7"/>
      <c r="I246" s="7"/>
      <c r="J246" s="7"/>
      <c r="K246" s="7"/>
      <c r="L246" s="7"/>
      <c r="M246" s="7"/>
      <c r="N246" s="59"/>
      <c r="O246" s="59"/>
      <c r="P246" s="59"/>
      <c r="Q246" s="59"/>
      <c r="R246" s="59"/>
      <c r="S246" s="59"/>
      <c r="T246" s="59"/>
      <c r="U246" s="59"/>
      <c r="V246" s="59"/>
      <c r="W246" s="59"/>
      <c r="X246" s="59"/>
      <c r="Y246" s="59"/>
      <c r="Z246" s="59"/>
      <c r="AA246" s="59"/>
      <c r="AB246" s="59"/>
      <c r="AC246" s="59"/>
      <c r="AD246" s="59"/>
      <c r="AE246" s="59"/>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row>
    <row r="247" spans="1:64" ht="12.75">
      <c r="A247" s="7"/>
      <c r="B247" s="7"/>
      <c r="C247" s="7"/>
      <c r="D247" s="7"/>
      <c r="E247" s="7"/>
      <c r="F247" s="7"/>
      <c r="G247" s="7"/>
      <c r="H247" s="7"/>
      <c r="I247" s="7"/>
      <c r="J247" s="7"/>
      <c r="K247" s="7"/>
      <c r="L247" s="7"/>
      <c r="M247" s="7"/>
      <c r="N247" s="59"/>
      <c r="O247" s="59"/>
      <c r="P247" s="59"/>
      <c r="Q247" s="59"/>
      <c r="R247" s="59"/>
      <c r="S247" s="59"/>
      <c r="T247" s="59"/>
      <c r="U247" s="59"/>
      <c r="V247" s="59"/>
      <c r="W247" s="59"/>
      <c r="X247" s="59"/>
      <c r="Y247" s="59"/>
      <c r="Z247" s="59"/>
      <c r="AA247" s="59"/>
      <c r="AB247" s="59"/>
      <c r="AC247" s="59"/>
      <c r="AD247" s="59"/>
      <c r="AE247" s="59"/>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row>
    <row r="248" spans="1:64" ht="12.75">
      <c r="A248" s="7"/>
      <c r="B248" s="7"/>
      <c r="C248" s="7"/>
      <c r="D248" s="7"/>
      <c r="E248" s="7"/>
      <c r="F248" s="7"/>
      <c r="G248" s="7"/>
      <c r="H248" s="7"/>
      <c r="I248" s="7"/>
      <c r="J248" s="7"/>
      <c r="K248" s="7"/>
      <c r="L248" s="7"/>
      <c r="M248" s="7"/>
      <c r="N248" s="59"/>
      <c r="O248" s="59"/>
      <c r="P248" s="59"/>
      <c r="Q248" s="59"/>
      <c r="R248" s="59"/>
      <c r="S248" s="59"/>
      <c r="T248" s="59"/>
      <c r="U248" s="59"/>
      <c r="V248" s="59"/>
      <c r="W248" s="59"/>
      <c r="X248" s="59"/>
      <c r="Y248" s="59"/>
      <c r="Z248" s="59"/>
      <c r="AA248" s="59"/>
      <c r="AB248" s="59"/>
      <c r="AC248" s="59"/>
      <c r="AD248" s="59"/>
      <c r="AE248" s="59"/>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c r="BJ248" s="7"/>
      <c r="BK248" s="7"/>
      <c r="BL248" s="7"/>
    </row>
    <row r="249" spans="1:64" ht="12.75">
      <c r="A249" s="7"/>
      <c r="B249" s="7"/>
      <c r="C249" s="7"/>
      <c r="D249" s="7"/>
      <c r="E249" s="7"/>
      <c r="F249" s="7"/>
      <c r="G249" s="7"/>
      <c r="H249" s="7"/>
      <c r="I249" s="7"/>
      <c r="J249" s="7"/>
      <c r="K249" s="7"/>
      <c r="L249" s="7"/>
      <c r="M249" s="7"/>
      <c r="N249" s="59"/>
      <c r="O249" s="59"/>
      <c r="P249" s="59"/>
      <c r="Q249" s="59"/>
      <c r="R249" s="59"/>
      <c r="S249" s="59"/>
      <c r="T249" s="59"/>
      <c r="U249" s="59"/>
      <c r="V249" s="59"/>
      <c r="W249" s="59"/>
      <c r="X249" s="59"/>
      <c r="Y249" s="59"/>
      <c r="Z249" s="59"/>
      <c r="AA249" s="59"/>
      <c r="AB249" s="59"/>
      <c r="AC249" s="59"/>
      <c r="AD249" s="59"/>
      <c r="AE249" s="59"/>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c r="BJ249" s="7"/>
      <c r="BK249" s="7"/>
      <c r="BL249" s="7"/>
    </row>
    <row r="250" spans="1:64" ht="12.75">
      <c r="A250" s="7"/>
      <c r="B250" s="7"/>
      <c r="C250" s="7"/>
      <c r="D250" s="7"/>
      <c r="E250" s="7"/>
      <c r="F250" s="7"/>
      <c r="G250" s="7"/>
      <c r="H250" s="7"/>
      <c r="I250" s="7"/>
      <c r="J250" s="7"/>
      <c r="K250" s="7"/>
      <c r="L250" s="7"/>
      <c r="M250" s="7"/>
      <c r="N250" s="59"/>
      <c r="O250" s="59"/>
      <c r="P250" s="59"/>
      <c r="Q250" s="59"/>
      <c r="R250" s="59"/>
      <c r="S250" s="59"/>
      <c r="T250" s="59"/>
      <c r="U250" s="59"/>
      <c r="V250" s="59"/>
      <c r="W250" s="59"/>
      <c r="X250" s="59"/>
      <c r="Y250" s="59"/>
      <c r="Z250" s="59"/>
      <c r="AA250" s="59"/>
      <c r="AB250" s="59"/>
      <c r="AC250" s="59"/>
      <c r="AD250" s="59"/>
      <c r="AE250" s="59"/>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c r="BJ250" s="7"/>
      <c r="BK250" s="7"/>
      <c r="BL250" s="7"/>
    </row>
    <row r="251" spans="1:64" ht="12.75">
      <c r="A251" s="7"/>
      <c r="B251" s="7"/>
      <c r="C251" s="7"/>
      <c r="D251" s="7"/>
      <c r="E251" s="7"/>
      <c r="F251" s="7"/>
      <c r="G251" s="7"/>
      <c r="H251" s="7"/>
      <c r="I251" s="7"/>
      <c r="J251" s="7"/>
      <c r="K251" s="7"/>
      <c r="L251" s="7"/>
      <c r="M251" s="7"/>
      <c r="N251" s="59"/>
      <c r="O251" s="59"/>
      <c r="P251" s="59"/>
      <c r="Q251" s="59"/>
      <c r="R251" s="59"/>
      <c r="S251" s="59"/>
      <c r="T251" s="59"/>
      <c r="U251" s="59"/>
      <c r="V251" s="59"/>
      <c r="W251" s="59"/>
      <c r="X251" s="59"/>
      <c r="Y251" s="59"/>
      <c r="Z251" s="59"/>
      <c r="AA251" s="59"/>
      <c r="AB251" s="59"/>
      <c r="AC251" s="59"/>
      <c r="AD251" s="59"/>
      <c r="AE251" s="59"/>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c r="BJ251" s="7"/>
      <c r="BK251" s="7"/>
      <c r="BL251" s="7"/>
    </row>
    <row r="252" spans="1:64" ht="12.75">
      <c r="A252" s="7"/>
      <c r="B252" s="7"/>
      <c r="C252" s="7"/>
      <c r="D252" s="7"/>
      <c r="E252" s="7"/>
      <c r="F252" s="7"/>
      <c r="G252" s="7"/>
      <c r="H252" s="7"/>
      <c r="I252" s="7"/>
      <c r="J252" s="7"/>
      <c r="K252" s="7"/>
      <c r="L252" s="7"/>
      <c r="M252" s="7"/>
      <c r="N252" s="59"/>
      <c r="O252" s="59"/>
      <c r="P252" s="59"/>
      <c r="Q252" s="59"/>
      <c r="R252" s="59"/>
      <c r="S252" s="59"/>
      <c r="T252" s="59"/>
      <c r="U252" s="59"/>
      <c r="V252" s="59"/>
      <c r="W252" s="59"/>
      <c r="X252" s="59"/>
      <c r="Y252" s="59"/>
      <c r="Z252" s="59"/>
      <c r="AA252" s="59"/>
      <c r="AB252" s="59"/>
      <c r="AC252" s="59"/>
      <c r="AD252" s="59"/>
      <c r="AE252" s="59"/>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c r="BJ252" s="7"/>
      <c r="BK252" s="7"/>
      <c r="BL252" s="7"/>
    </row>
    <row r="253" spans="1:64" ht="12.75">
      <c r="A253" s="7"/>
      <c r="B253" s="7"/>
      <c r="C253" s="7"/>
      <c r="D253" s="7"/>
      <c r="E253" s="7"/>
      <c r="F253" s="7"/>
      <c r="G253" s="7"/>
      <c r="H253" s="7"/>
      <c r="I253" s="7"/>
      <c r="J253" s="7"/>
      <c r="K253" s="7"/>
      <c r="L253" s="7"/>
      <c r="M253" s="7"/>
      <c r="N253" s="59"/>
      <c r="O253" s="59"/>
      <c r="P253" s="59"/>
      <c r="Q253" s="59"/>
      <c r="R253" s="59"/>
      <c r="S253" s="59"/>
      <c r="T253" s="59"/>
      <c r="U253" s="59"/>
      <c r="V253" s="59"/>
      <c r="W253" s="59"/>
      <c r="X253" s="59"/>
      <c r="Y253" s="59"/>
      <c r="Z253" s="59"/>
      <c r="AA253" s="59"/>
      <c r="AB253" s="59"/>
      <c r="AC253" s="59"/>
      <c r="AD253" s="59"/>
      <c r="AE253" s="59"/>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c r="BJ253" s="7"/>
      <c r="BK253" s="7"/>
      <c r="BL253" s="7"/>
    </row>
    <row r="254" spans="1:64" ht="12.75">
      <c r="A254" s="7"/>
      <c r="B254" s="7"/>
      <c r="C254" s="7"/>
      <c r="D254" s="7"/>
      <c r="E254" s="7"/>
      <c r="F254" s="7"/>
      <c r="G254" s="7"/>
      <c r="H254" s="7"/>
      <c r="I254" s="7"/>
      <c r="J254" s="7"/>
      <c r="K254" s="7"/>
      <c r="L254" s="7"/>
      <c r="M254" s="7"/>
      <c r="N254" s="59"/>
      <c r="O254" s="59"/>
      <c r="P254" s="59"/>
      <c r="Q254" s="59"/>
      <c r="R254" s="59"/>
      <c r="S254" s="59"/>
      <c r="T254" s="59"/>
      <c r="U254" s="59"/>
      <c r="V254" s="59"/>
      <c r="W254" s="59"/>
      <c r="X254" s="59"/>
      <c r="Y254" s="59"/>
      <c r="Z254" s="59"/>
      <c r="AA254" s="59"/>
      <c r="AB254" s="59"/>
      <c r="AC254" s="59"/>
      <c r="AD254" s="59"/>
      <c r="AE254" s="59"/>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c r="BJ254" s="7"/>
      <c r="BK254" s="7"/>
      <c r="BL254" s="7"/>
    </row>
    <row r="255" spans="1:64" ht="12.75">
      <c r="A255" s="7"/>
      <c r="B255" s="7"/>
      <c r="C255" s="7"/>
      <c r="D255" s="7"/>
      <c r="E255" s="7"/>
      <c r="F255" s="7"/>
      <c r="G255" s="7"/>
      <c r="H255" s="7"/>
      <c r="I255" s="7"/>
      <c r="J255" s="7"/>
      <c r="K255" s="7"/>
      <c r="L255" s="7"/>
      <c r="M255" s="7"/>
      <c r="N255" s="59"/>
      <c r="O255" s="59"/>
      <c r="P255" s="59"/>
      <c r="Q255" s="59"/>
      <c r="R255" s="59"/>
      <c r="S255" s="59"/>
      <c r="T255" s="59"/>
      <c r="U255" s="59"/>
      <c r="V255" s="59"/>
      <c r="W255" s="59"/>
      <c r="X255" s="59"/>
      <c r="Y255" s="59"/>
      <c r="Z255" s="59"/>
      <c r="AA255" s="59"/>
      <c r="AB255" s="59"/>
      <c r="AC255" s="59"/>
      <c r="AD255" s="59"/>
      <c r="AE255" s="59"/>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row>
    <row r="256" spans="1:64" ht="12.75">
      <c r="A256" s="7"/>
      <c r="B256" s="7"/>
      <c r="C256" s="7"/>
      <c r="D256" s="7"/>
      <c r="E256" s="7"/>
      <c r="F256" s="7"/>
      <c r="G256" s="7"/>
      <c r="H256" s="7"/>
      <c r="I256" s="7"/>
      <c r="J256" s="7"/>
      <c r="K256" s="7"/>
      <c r="L256" s="7"/>
      <c r="M256" s="7"/>
      <c r="N256" s="59"/>
      <c r="O256" s="59"/>
      <c r="P256" s="59"/>
      <c r="Q256" s="59"/>
      <c r="R256" s="59"/>
      <c r="S256" s="59"/>
      <c r="T256" s="59"/>
      <c r="U256" s="59"/>
      <c r="V256" s="59"/>
      <c r="W256" s="59"/>
      <c r="X256" s="59"/>
      <c r="Y256" s="59"/>
      <c r="Z256" s="59"/>
      <c r="AA256" s="59"/>
      <c r="AB256" s="59"/>
      <c r="AC256" s="59"/>
      <c r="AD256" s="59"/>
      <c r="AE256" s="59"/>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row>
    <row r="257" spans="1:64" ht="12.75">
      <c r="A257" s="7"/>
      <c r="B257" s="7"/>
      <c r="C257" s="7"/>
      <c r="D257" s="7"/>
      <c r="E257" s="7"/>
      <c r="F257" s="7"/>
      <c r="G257" s="7"/>
      <c r="H257" s="7"/>
      <c r="I257" s="7"/>
      <c r="J257" s="7"/>
      <c r="K257" s="7"/>
      <c r="L257" s="7"/>
      <c r="M257" s="7"/>
      <c r="N257" s="59"/>
      <c r="O257" s="59"/>
      <c r="P257" s="59"/>
      <c r="Q257" s="59"/>
      <c r="R257" s="59"/>
      <c r="S257" s="59"/>
      <c r="T257" s="59"/>
      <c r="U257" s="59"/>
      <c r="V257" s="59"/>
      <c r="W257" s="59"/>
      <c r="X257" s="59"/>
      <c r="Y257" s="59"/>
      <c r="Z257" s="59"/>
      <c r="AA257" s="59"/>
      <c r="AB257" s="59"/>
      <c r="AC257" s="59"/>
      <c r="AD257" s="59"/>
      <c r="AE257" s="59"/>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row>
    <row r="258" spans="1:64" ht="12.75">
      <c r="A258" s="7"/>
      <c r="B258" s="7"/>
      <c r="C258" s="7"/>
      <c r="D258" s="7"/>
      <c r="E258" s="7"/>
      <c r="F258" s="7"/>
      <c r="G258" s="7"/>
      <c r="H258" s="7"/>
      <c r="I258" s="7"/>
      <c r="J258" s="7"/>
      <c r="K258" s="7"/>
      <c r="L258" s="7"/>
      <c r="M258" s="7"/>
      <c r="N258" s="59"/>
      <c r="O258" s="59"/>
      <c r="P258" s="59"/>
      <c r="Q258" s="59"/>
      <c r="R258" s="59"/>
      <c r="S258" s="59"/>
      <c r="T258" s="59"/>
      <c r="U258" s="59"/>
      <c r="V258" s="59"/>
      <c r="W258" s="59"/>
      <c r="X258" s="59"/>
      <c r="Y258" s="59"/>
      <c r="Z258" s="59"/>
      <c r="AA258" s="59"/>
      <c r="AB258" s="59"/>
      <c r="AC258" s="59"/>
      <c r="AD258" s="59"/>
      <c r="AE258" s="59"/>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row>
    <row r="259" spans="1:64" ht="12.75">
      <c r="A259" s="7"/>
      <c r="B259" s="7"/>
      <c r="C259" s="7"/>
      <c r="D259" s="7"/>
      <c r="E259" s="7"/>
      <c r="F259" s="7"/>
      <c r="G259" s="7"/>
      <c r="H259" s="7"/>
      <c r="I259" s="7"/>
      <c r="J259" s="7"/>
      <c r="K259" s="7"/>
      <c r="L259" s="7"/>
      <c r="M259" s="7"/>
      <c r="N259" s="59"/>
      <c r="O259" s="59"/>
      <c r="P259" s="59"/>
      <c r="Q259" s="59"/>
      <c r="R259" s="59"/>
      <c r="S259" s="59"/>
      <c r="T259" s="59"/>
      <c r="U259" s="59"/>
      <c r="V259" s="59"/>
      <c r="W259" s="59"/>
      <c r="X259" s="59"/>
      <c r="Y259" s="59"/>
      <c r="Z259" s="59"/>
      <c r="AA259" s="59"/>
      <c r="AB259" s="59"/>
      <c r="AC259" s="59"/>
      <c r="AD259" s="59"/>
      <c r="AE259" s="59"/>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row>
    <row r="260" spans="1:64" ht="12.75">
      <c r="A260" s="7"/>
      <c r="B260" s="7"/>
      <c r="C260" s="7"/>
      <c r="D260" s="7"/>
      <c r="E260" s="7"/>
      <c r="F260" s="7"/>
      <c r="G260" s="7"/>
      <c r="H260" s="7"/>
      <c r="I260" s="7"/>
      <c r="J260" s="7"/>
      <c r="K260" s="7"/>
      <c r="L260" s="7"/>
      <c r="M260" s="7"/>
      <c r="N260" s="59"/>
      <c r="O260" s="59"/>
      <c r="P260" s="59"/>
      <c r="Q260" s="59"/>
      <c r="R260" s="59"/>
      <c r="S260" s="59"/>
      <c r="T260" s="59"/>
      <c r="U260" s="59"/>
      <c r="V260" s="59"/>
      <c r="W260" s="59"/>
      <c r="X260" s="59"/>
      <c r="Y260" s="59"/>
      <c r="Z260" s="59"/>
      <c r="AA260" s="59"/>
      <c r="AB260" s="59"/>
      <c r="AC260" s="59"/>
      <c r="AD260" s="59"/>
      <c r="AE260" s="59"/>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row>
    <row r="261" spans="1:64" ht="12.75">
      <c r="A261" s="7"/>
      <c r="B261" s="7"/>
      <c r="C261" s="7"/>
      <c r="D261" s="7"/>
      <c r="E261" s="7"/>
      <c r="F261" s="7"/>
      <c r="G261" s="7"/>
      <c r="H261" s="7"/>
      <c r="I261" s="7"/>
      <c r="J261" s="7"/>
      <c r="K261" s="7"/>
      <c r="L261" s="7"/>
      <c r="M261" s="7"/>
      <c r="N261" s="59"/>
      <c r="O261" s="59"/>
      <c r="P261" s="59"/>
      <c r="Q261" s="59"/>
      <c r="R261" s="59"/>
      <c r="S261" s="59"/>
      <c r="T261" s="59"/>
      <c r="U261" s="59"/>
      <c r="V261" s="59"/>
      <c r="W261" s="59"/>
      <c r="X261" s="59"/>
      <c r="Y261" s="59"/>
      <c r="Z261" s="59"/>
      <c r="AA261" s="59"/>
      <c r="AB261" s="59"/>
      <c r="AC261" s="59"/>
      <c r="AD261" s="59"/>
      <c r="AE261" s="59"/>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row>
    <row r="262" spans="1:64" ht="12.75">
      <c r="A262" s="7"/>
      <c r="B262" s="7"/>
      <c r="C262" s="7"/>
      <c r="D262" s="7"/>
      <c r="E262" s="7"/>
      <c r="F262" s="7"/>
      <c r="G262" s="7"/>
      <c r="H262" s="7"/>
      <c r="I262" s="7"/>
      <c r="J262" s="7"/>
      <c r="K262" s="7"/>
      <c r="L262" s="7"/>
      <c r="M262" s="7"/>
      <c r="N262" s="59"/>
      <c r="O262" s="59"/>
      <c r="P262" s="59"/>
      <c r="Q262" s="59"/>
      <c r="R262" s="59"/>
      <c r="S262" s="59"/>
      <c r="T262" s="59"/>
      <c r="U262" s="59"/>
      <c r="V262" s="59"/>
      <c r="W262" s="59"/>
      <c r="X262" s="59"/>
      <c r="Y262" s="59"/>
      <c r="Z262" s="59"/>
      <c r="AA262" s="59"/>
      <c r="AB262" s="59"/>
      <c r="AC262" s="59"/>
      <c r="AD262" s="59"/>
      <c r="AE262" s="59"/>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row>
    <row r="263" spans="1:64" ht="12.75">
      <c r="A263" s="7"/>
      <c r="B263" s="7"/>
      <c r="C263" s="7"/>
      <c r="D263" s="7"/>
      <c r="E263" s="7"/>
      <c r="F263" s="7"/>
      <c r="G263" s="7"/>
      <c r="H263" s="7"/>
      <c r="I263" s="7"/>
      <c r="J263" s="7"/>
      <c r="K263" s="7"/>
      <c r="L263" s="7"/>
      <c r="M263" s="7"/>
      <c r="N263" s="59"/>
      <c r="O263" s="59"/>
      <c r="P263" s="59"/>
      <c r="Q263" s="59"/>
      <c r="R263" s="59"/>
      <c r="S263" s="59"/>
      <c r="T263" s="59"/>
      <c r="U263" s="59"/>
      <c r="V263" s="59"/>
      <c r="W263" s="59"/>
      <c r="X263" s="59"/>
      <c r="Y263" s="59"/>
      <c r="Z263" s="59"/>
      <c r="AA263" s="59"/>
      <c r="AB263" s="59"/>
      <c r="AC263" s="59"/>
      <c r="AD263" s="59"/>
      <c r="AE263" s="59"/>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row>
    <row r="264" spans="1:64" ht="12.75">
      <c r="A264" s="7"/>
      <c r="B264" s="7"/>
      <c r="C264" s="7"/>
      <c r="D264" s="7"/>
      <c r="E264" s="7"/>
      <c r="F264" s="7"/>
      <c r="G264" s="7"/>
      <c r="H264" s="7"/>
      <c r="I264" s="7"/>
      <c r="J264" s="7"/>
      <c r="K264" s="7"/>
      <c r="L264" s="7"/>
      <c r="M264" s="7"/>
      <c r="N264" s="59"/>
      <c r="O264" s="59"/>
      <c r="P264" s="59"/>
      <c r="Q264" s="59"/>
      <c r="R264" s="59"/>
      <c r="S264" s="59"/>
      <c r="T264" s="59"/>
      <c r="U264" s="59"/>
      <c r="V264" s="59"/>
      <c r="W264" s="59"/>
      <c r="X264" s="59"/>
      <c r="Y264" s="59"/>
      <c r="Z264" s="59"/>
      <c r="AA264" s="59"/>
      <c r="AB264" s="59"/>
      <c r="AC264" s="59"/>
      <c r="AD264" s="59"/>
      <c r="AE264" s="59"/>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c r="BJ264" s="7"/>
      <c r="BK264" s="7"/>
      <c r="BL264" s="7"/>
    </row>
    <row r="265" spans="1:64" ht="12.75">
      <c r="A265" s="7"/>
      <c r="B265" s="7"/>
      <c r="C265" s="7"/>
      <c r="D265" s="7"/>
      <c r="E265" s="7"/>
      <c r="F265" s="7"/>
      <c r="G265" s="7"/>
      <c r="H265" s="7"/>
      <c r="I265" s="7"/>
      <c r="J265" s="7"/>
      <c r="K265" s="7"/>
      <c r="L265" s="7"/>
      <c r="M265" s="7"/>
      <c r="N265" s="59"/>
      <c r="O265" s="59"/>
      <c r="P265" s="59"/>
      <c r="Q265" s="59"/>
      <c r="R265" s="59"/>
      <c r="S265" s="59"/>
      <c r="T265" s="59"/>
      <c r="U265" s="59"/>
      <c r="V265" s="59"/>
      <c r="W265" s="59"/>
      <c r="X265" s="59"/>
      <c r="Y265" s="59"/>
      <c r="Z265" s="59"/>
      <c r="AA265" s="59"/>
      <c r="AB265" s="59"/>
      <c r="AC265" s="59"/>
      <c r="AD265" s="59"/>
      <c r="AE265" s="59"/>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c r="BJ265" s="7"/>
      <c r="BK265" s="7"/>
      <c r="BL265" s="7"/>
    </row>
    <row r="266" spans="1:64" ht="12.75">
      <c r="A266" s="7"/>
      <c r="B266" s="7"/>
      <c r="C266" s="7"/>
      <c r="D266" s="7"/>
      <c r="E266" s="7"/>
      <c r="F266" s="7"/>
      <c r="G266" s="7"/>
      <c r="H266" s="7"/>
      <c r="I266" s="7"/>
      <c r="J266" s="7"/>
      <c r="K266" s="7"/>
      <c r="L266" s="7"/>
      <c r="M266" s="7"/>
      <c r="N266" s="59"/>
      <c r="O266" s="59"/>
      <c r="P266" s="59"/>
      <c r="Q266" s="59"/>
      <c r="R266" s="59"/>
      <c r="S266" s="59"/>
      <c r="T266" s="59"/>
      <c r="U266" s="59"/>
      <c r="V266" s="59"/>
      <c r="W266" s="59"/>
      <c r="X266" s="59"/>
      <c r="Y266" s="59"/>
      <c r="Z266" s="59"/>
      <c r="AA266" s="59"/>
      <c r="AB266" s="59"/>
      <c r="AC266" s="59"/>
      <c r="AD266" s="59"/>
      <c r="AE266" s="59"/>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c r="BJ266" s="7"/>
      <c r="BK266" s="7"/>
      <c r="BL266" s="7"/>
    </row>
    <row r="267" spans="1:64" ht="12.75">
      <c r="A267" s="7"/>
      <c r="B267" s="7"/>
      <c r="C267" s="7"/>
      <c r="D267" s="7"/>
      <c r="E267" s="7"/>
      <c r="F267" s="7"/>
      <c r="G267" s="7"/>
      <c r="H267" s="7"/>
      <c r="I267" s="7"/>
      <c r="J267" s="7"/>
      <c r="K267" s="7"/>
      <c r="L267" s="7"/>
      <c r="M267" s="7"/>
      <c r="N267" s="59"/>
      <c r="O267" s="59"/>
      <c r="P267" s="59"/>
      <c r="Q267" s="59"/>
      <c r="R267" s="59"/>
      <c r="S267" s="59"/>
      <c r="T267" s="59"/>
      <c r="U267" s="59"/>
      <c r="V267" s="59"/>
      <c r="W267" s="59"/>
      <c r="X267" s="59"/>
      <c r="Y267" s="59"/>
      <c r="Z267" s="59"/>
      <c r="AA267" s="59"/>
      <c r="AB267" s="59"/>
      <c r="AC267" s="59"/>
      <c r="AD267" s="59"/>
      <c r="AE267" s="59"/>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row>
    <row r="268" spans="1:64" ht="12.75">
      <c r="A268" s="7"/>
      <c r="B268" s="7"/>
      <c r="C268" s="7"/>
      <c r="D268" s="7"/>
      <c r="E268" s="7"/>
      <c r="F268" s="7"/>
      <c r="G268" s="7"/>
      <c r="H268" s="7"/>
      <c r="I268" s="7"/>
      <c r="J268" s="7"/>
      <c r="K268" s="7"/>
      <c r="L268" s="7"/>
      <c r="M268" s="7"/>
      <c r="N268" s="59"/>
      <c r="O268" s="59"/>
      <c r="P268" s="59"/>
      <c r="Q268" s="59"/>
      <c r="R268" s="59"/>
      <c r="S268" s="59"/>
      <c r="T268" s="59"/>
      <c r="U268" s="59"/>
      <c r="V268" s="59"/>
      <c r="W268" s="59"/>
      <c r="X268" s="59"/>
      <c r="Y268" s="59"/>
      <c r="Z268" s="59"/>
      <c r="AA268" s="59"/>
      <c r="AB268" s="59"/>
      <c r="AC268" s="59"/>
      <c r="AD268" s="59"/>
      <c r="AE268" s="59"/>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c r="BJ268" s="7"/>
      <c r="BK268" s="7"/>
      <c r="BL268" s="7"/>
    </row>
    <row r="269" spans="1:64" ht="12.75">
      <c r="A269" s="7"/>
      <c r="B269" s="7"/>
      <c r="C269" s="7"/>
      <c r="D269" s="7"/>
      <c r="E269" s="7"/>
      <c r="F269" s="7"/>
      <c r="G269" s="7"/>
      <c r="H269" s="7"/>
      <c r="I269" s="7"/>
      <c r="J269" s="7"/>
      <c r="K269" s="7"/>
      <c r="L269" s="7"/>
      <c r="M269" s="7"/>
      <c r="N269" s="59"/>
      <c r="O269" s="59"/>
      <c r="P269" s="59"/>
      <c r="Q269" s="59"/>
      <c r="R269" s="59"/>
      <c r="S269" s="59"/>
      <c r="T269" s="59"/>
      <c r="U269" s="59"/>
      <c r="V269" s="59"/>
      <c r="W269" s="59"/>
      <c r="X269" s="59"/>
      <c r="Y269" s="59"/>
      <c r="Z269" s="59"/>
      <c r="AA269" s="59"/>
      <c r="AB269" s="59"/>
      <c r="AC269" s="59"/>
      <c r="AD269" s="59"/>
      <c r="AE269" s="59"/>
      <c r="AF269" s="7"/>
      <c r="AG269" s="7"/>
      <c r="AH269" s="7"/>
      <c r="AI269" s="7"/>
      <c r="AJ269" s="7"/>
      <c r="AK269" s="7"/>
      <c r="AL269" s="7"/>
      <c r="AM269" s="7"/>
      <c r="AN269" s="7"/>
      <c r="AO269" s="7"/>
      <c r="AP269" s="7"/>
      <c r="AQ269" s="7"/>
      <c r="AR269" s="7"/>
      <c r="AS269" s="7"/>
      <c r="AT269" s="7"/>
      <c r="AU269" s="7"/>
      <c r="AV269" s="7"/>
      <c r="AW269" s="7"/>
      <c r="AX269" s="7"/>
      <c r="AY269" s="7"/>
      <c r="AZ269" s="7"/>
      <c r="BA269" s="7"/>
      <c r="BB269" s="7"/>
      <c r="BC269" s="7"/>
      <c r="BD269" s="7"/>
      <c r="BE269" s="7"/>
      <c r="BF269" s="7"/>
      <c r="BG269" s="7"/>
      <c r="BH269" s="7"/>
      <c r="BI269" s="7"/>
      <c r="BJ269" s="7"/>
      <c r="BK269" s="7"/>
      <c r="BL269" s="7"/>
    </row>
    <row r="270" spans="1:64" ht="12.75">
      <c r="A270" s="7"/>
      <c r="B270" s="7"/>
      <c r="C270" s="7"/>
      <c r="D270" s="7"/>
      <c r="E270" s="7"/>
      <c r="F270" s="7"/>
      <c r="G270" s="7"/>
      <c r="H270" s="7"/>
      <c r="I270" s="7"/>
      <c r="J270" s="7"/>
      <c r="K270" s="7"/>
      <c r="L270" s="7"/>
      <c r="M270" s="7"/>
      <c r="N270" s="59"/>
      <c r="O270" s="59"/>
      <c r="P270" s="59"/>
      <c r="Q270" s="59"/>
      <c r="R270" s="59"/>
      <c r="S270" s="59"/>
      <c r="T270" s="59"/>
      <c r="U270" s="59"/>
      <c r="V270" s="59"/>
      <c r="W270" s="59"/>
      <c r="X270" s="59"/>
      <c r="Y270" s="59"/>
      <c r="Z270" s="59"/>
      <c r="AA270" s="59"/>
      <c r="AB270" s="59"/>
      <c r="AC270" s="59"/>
      <c r="AD270" s="59"/>
      <c r="AE270" s="59"/>
      <c r="AF270" s="7"/>
      <c r="AG270" s="7"/>
      <c r="AH270" s="7"/>
      <c r="AI270" s="7"/>
      <c r="AJ270" s="7"/>
      <c r="AK270" s="7"/>
      <c r="AL270" s="7"/>
      <c r="AM270" s="7"/>
      <c r="AN270" s="7"/>
      <c r="AO270" s="7"/>
      <c r="AP270" s="7"/>
      <c r="AQ270" s="7"/>
      <c r="AR270" s="7"/>
      <c r="AS270" s="7"/>
      <c r="AT270" s="7"/>
      <c r="AU270" s="7"/>
      <c r="AV270" s="7"/>
      <c r="AW270" s="7"/>
      <c r="AX270" s="7"/>
      <c r="AY270" s="7"/>
      <c r="AZ270" s="7"/>
      <c r="BA270" s="7"/>
      <c r="BB270" s="7"/>
      <c r="BC270" s="7"/>
      <c r="BD270" s="7"/>
      <c r="BE270" s="7"/>
      <c r="BF270" s="7"/>
      <c r="BG270" s="7"/>
      <c r="BH270" s="7"/>
      <c r="BI270" s="7"/>
      <c r="BJ270" s="7"/>
      <c r="BK270" s="7"/>
      <c r="BL270" s="7"/>
    </row>
    <row r="271" spans="1:64" ht="12.75">
      <c r="A271" s="7"/>
      <c r="B271" s="7"/>
      <c r="C271" s="7"/>
      <c r="D271" s="7"/>
      <c r="E271" s="7"/>
      <c r="F271" s="7"/>
      <c r="G271" s="7"/>
      <c r="H271" s="7"/>
      <c r="I271" s="7"/>
      <c r="J271" s="7"/>
      <c r="K271" s="7"/>
      <c r="L271" s="7"/>
      <c r="M271" s="7"/>
      <c r="N271" s="59"/>
      <c r="O271" s="59"/>
      <c r="P271" s="59"/>
      <c r="Q271" s="59"/>
      <c r="R271" s="59"/>
      <c r="S271" s="59"/>
      <c r="T271" s="59"/>
      <c r="U271" s="59"/>
      <c r="V271" s="59"/>
      <c r="W271" s="59"/>
      <c r="X271" s="59"/>
      <c r="Y271" s="59"/>
      <c r="Z271" s="59"/>
      <c r="AA271" s="59"/>
      <c r="AB271" s="59"/>
      <c r="AC271" s="59"/>
      <c r="AD271" s="59"/>
      <c r="AE271" s="59"/>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row>
    <row r="272" spans="1:64" ht="12.75">
      <c r="A272" s="7"/>
      <c r="B272" s="7"/>
      <c r="C272" s="7"/>
      <c r="D272" s="7"/>
      <c r="E272" s="7"/>
      <c r="F272" s="7"/>
      <c r="G272" s="7"/>
      <c r="H272" s="7"/>
      <c r="I272" s="7"/>
      <c r="J272" s="7"/>
      <c r="K272" s="7"/>
      <c r="L272" s="7"/>
      <c r="M272" s="7"/>
      <c r="N272" s="59"/>
      <c r="O272" s="59"/>
      <c r="P272" s="59"/>
      <c r="Q272" s="59"/>
      <c r="R272" s="59"/>
      <c r="S272" s="59"/>
      <c r="T272" s="59"/>
      <c r="U272" s="59"/>
      <c r="V272" s="59"/>
      <c r="W272" s="59"/>
      <c r="X272" s="59"/>
      <c r="Y272" s="59"/>
      <c r="Z272" s="59"/>
      <c r="AA272" s="59"/>
      <c r="AB272" s="59"/>
      <c r="AC272" s="59"/>
      <c r="AD272" s="59"/>
      <c r="AE272" s="59"/>
      <c r="AF272" s="7"/>
      <c r="AG272" s="7"/>
      <c r="AH272" s="7"/>
      <c r="AI272" s="7"/>
      <c r="AJ272" s="7"/>
      <c r="AK272" s="7"/>
      <c r="AL272" s="7"/>
      <c r="AM272" s="7"/>
      <c r="AN272" s="7"/>
      <c r="AO272" s="7"/>
      <c r="AP272" s="7"/>
      <c r="AQ272" s="7"/>
      <c r="AR272" s="7"/>
      <c r="AS272" s="7"/>
      <c r="AT272" s="7"/>
      <c r="AU272" s="7"/>
      <c r="AV272" s="7"/>
      <c r="AW272" s="7"/>
      <c r="AX272" s="7"/>
      <c r="AY272" s="7"/>
      <c r="AZ272" s="7"/>
      <c r="BA272" s="7"/>
      <c r="BB272" s="7"/>
      <c r="BC272" s="7"/>
      <c r="BD272" s="7"/>
      <c r="BE272" s="7"/>
      <c r="BF272" s="7"/>
      <c r="BG272" s="7"/>
      <c r="BH272" s="7"/>
      <c r="BI272" s="7"/>
      <c r="BJ272" s="7"/>
      <c r="BK272" s="7"/>
      <c r="BL272" s="7"/>
    </row>
    <row r="273" spans="1:64" ht="12.75">
      <c r="A273" s="7"/>
      <c r="B273" s="7"/>
      <c r="C273" s="7"/>
      <c r="D273" s="7"/>
      <c r="E273" s="7"/>
      <c r="F273" s="7"/>
      <c r="G273" s="7"/>
      <c r="H273" s="7"/>
      <c r="I273" s="7"/>
      <c r="J273" s="7"/>
      <c r="K273" s="7"/>
      <c r="L273" s="7"/>
      <c r="M273" s="7"/>
      <c r="N273" s="59"/>
      <c r="O273" s="59"/>
      <c r="P273" s="59"/>
      <c r="Q273" s="59"/>
      <c r="R273" s="59"/>
      <c r="S273" s="59"/>
      <c r="T273" s="59"/>
      <c r="U273" s="59"/>
      <c r="V273" s="59"/>
      <c r="W273" s="59"/>
      <c r="X273" s="59"/>
      <c r="Y273" s="59"/>
      <c r="Z273" s="59"/>
      <c r="AA273" s="59"/>
      <c r="AB273" s="59"/>
      <c r="AC273" s="59"/>
      <c r="AD273" s="59"/>
      <c r="AE273" s="59"/>
      <c r="AF273" s="7"/>
      <c r="AG273" s="7"/>
      <c r="AH273" s="7"/>
      <c r="AI273" s="7"/>
      <c r="AJ273" s="7"/>
      <c r="AK273" s="7"/>
      <c r="AL273" s="7"/>
      <c r="AM273" s="7"/>
      <c r="AN273" s="7"/>
      <c r="AO273" s="7"/>
      <c r="AP273" s="7"/>
      <c r="AQ273" s="7"/>
      <c r="AR273" s="7"/>
      <c r="AS273" s="7"/>
      <c r="AT273" s="7"/>
      <c r="AU273" s="7"/>
      <c r="AV273" s="7"/>
      <c r="AW273" s="7"/>
      <c r="AX273" s="7"/>
      <c r="AY273" s="7"/>
      <c r="AZ273" s="7"/>
      <c r="BA273" s="7"/>
      <c r="BB273" s="7"/>
      <c r="BC273" s="7"/>
      <c r="BD273" s="7"/>
      <c r="BE273" s="7"/>
      <c r="BF273" s="7"/>
      <c r="BG273" s="7"/>
      <c r="BH273" s="7"/>
      <c r="BI273" s="7"/>
      <c r="BJ273" s="7"/>
      <c r="BK273" s="7"/>
      <c r="BL273" s="7"/>
    </row>
    <row r="274" spans="1:64" ht="12.75">
      <c r="A274" s="7"/>
      <c r="B274" s="7"/>
      <c r="C274" s="7"/>
      <c r="D274" s="7"/>
      <c r="E274" s="7"/>
      <c r="F274" s="7"/>
      <c r="G274" s="7"/>
      <c r="H274" s="7"/>
      <c r="I274" s="7"/>
      <c r="J274" s="7"/>
      <c r="K274" s="7"/>
      <c r="L274" s="7"/>
      <c r="M274" s="7"/>
      <c r="N274" s="59"/>
      <c r="O274" s="59"/>
      <c r="P274" s="59"/>
      <c r="Q274" s="59"/>
      <c r="R274" s="59"/>
      <c r="S274" s="59"/>
      <c r="T274" s="59"/>
      <c r="U274" s="59"/>
      <c r="V274" s="59"/>
      <c r="W274" s="59"/>
      <c r="X274" s="59"/>
      <c r="Y274" s="59"/>
      <c r="Z274" s="59"/>
      <c r="AA274" s="59"/>
      <c r="AB274" s="59"/>
      <c r="AC274" s="59"/>
      <c r="AD274" s="59"/>
      <c r="AE274" s="59"/>
      <c r="AF274" s="7"/>
      <c r="AG274" s="7"/>
      <c r="AH274" s="7"/>
      <c r="AI274" s="7"/>
      <c r="AJ274" s="7"/>
      <c r="AK274" s="7"/>
      <c r="AL274" s="7"/>
      <c r="AM274" s="7"/>
      <c r="AN274" s="7"/>
      <c r="AO274" s="7"/>
      <c r="AP274" s="7"/>
      <c r="AQ274" s="7"/>
      <c r="AR274" s="7"/>
      <c r="AS274" s="7"/>
      <c r="AT274" s="7"/>
      <c r="AU274" s="7"/>
      <c r="AV274" s="7"/>
      <c r="AW274" s="7"/>
      <c r="AX274" s="7"/>
      <c r="AY274" s="7"/>
      <c r="AZ274" s="7"/>
      <c r="BA274" s="7"/>
      <c r="BB274" s="7"/>
      <c r="BC274" s="7"/>
      <c r="BD274" s="7"/>
      <c r="BE274" s="7"/>
      <c r="BF274" s="7"/>
      <c r="BG274" s="7"/>
      <c r="BH274" s="7"/>
      <c r="BI274" s="7"/>
      <c r="BJ274" s="7"/>
      <c r="BK274" s="7"/>
      <c r="BL274" s="7"/>
    </row>
    <row r="275" spans="1:64" ht="12.75">
      <c r="A275" s="7"/>
      <c r="B275" s="7"/>
      <c r="C275" s="7"/>
      <c r="D275" s="7"/>
      <c r="E275" s="7"/>
      <c r="F275" s="7"/>
      <c r="G275" s="7"/>
      <c r="H275" s="7"/>
      <c r="I275" s="7"/>
      <c r="J275" s="7"/>
      <c r="K275" s="7"/>
      <c r="L275" s="7"/>
      <c r="M275" s="7"/>
      <c r="N275" s="59"/>
      <c r="O275" s="59"/>
      <c r="P275" s="59"/>
      <c r="Q275" s="59"/>
      <c r="R275" s="59"/>
      <c r="S275" s="59"/>
      <c r="T275" s="59"/>
      <c r="U275" s="59"/>
      <c r="V275" s="59"/>
      <c r="W275" s="59"/>
      <c r="X275" s="59"/>
      <c r="Y275" s="59"/>
      <c r="Z275" s="59"/>
      <c r="AA275" s="59"/>
      <c r="AB275" s="59"/>
      <c r="AC275" s="59"/>
      <c r="AD275" s="59"/>
      <c r="AE275" s="59"/>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c r="BJ275" s="7"/>
      <c r="BK275" s="7"/>
      <c r="BL275" s="7"/>
    </row>
    <row r="276" spans="1:64" ht="12.75">
      <c r="A276" s="7"/>
      <c r="B276" s="7"/>
      <c r="C276" s="7"/>
      <c r="D276" s="7"/>
      <c r="E276" s="7"/>
      <c r="F276" s="7"/>
      <c r="G276" s="7"/>
      <c r="H276" s="7"/>
      <c r="I276" s="7"/>
      <c r="J276" s="7"/>
      <c r="K276" s="7"/>
      <c r="L276" s="7"/>
      <c r="M276" s="7"/>
      <c r="N276" s="59"/>
      <c r="O276" s="59"/>
      <c r="P276" s="59"/>
      <c r="Q276" s="59"/>
      <c r="R276" s="59"/>
      <c r="S276" s="59"/>
      <c r="T276" s="59"/>
      <c r="U276" s="59"/>
      <c r="V276" s="59"/>
      <c r="W276" s="59"/>
      <c r="X276" s="59"/>
      <c r="Y276" s="59"/>
      <c r="Z276" s="59"/>
      <c r="AA276" s="59"/>
      <c r="AB276" s="59"/>
      <c r="AC276" s="59"/>
      <c r="AD276" s="59"/>
      <c r="AE276" s="59"/>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c r="BJ276" s="7"/>
      <c r="BK276" s="7"/>
      <c r="BL276" s="7"/>
    </row>
    <row r="277" spans="1:64" ht="12.75">
      <c r="A277" s="7"/>
      <c r="B277" s="7"/>
      <c r="C277" s="7"/>
      <c r="D277" s="7"/>
      <c r="E277" s="7"/>
      <c r="F277" s="7"/>
      <c r="G277" s="7"/>
      <c r="H277" s="7"/>
      <c r="I277" s="7"/>
      <c r="J277" s="7"/>
      <c r="K277" s="7"/>
      <c r="L277" s="7"/>
      <c r="M277" s="7"/>
      <c r="N277" s="59"/>
      <c r="O277" s="59"/>
      <c r="P277" s="59"/>
      <c r="Q277" s="59"/>
      <c r="R277" s="59"/>
      <c r="S277" s="59"/>
      <c r="T277" s="59"/>
      <c r="U277" s="59"/>
      <c r="V277" s="59"/>
      <c r="W277" s="59"/>
      <c r="X277" s="59"/>
      <c r="Y277" s="59"/>
      <c r="Z277" s="59"/>
      <c r="AA277" s="59"/>
      <c r="AB277" s="59"/>
      <c r="AC277" s="59"/>
      <c r="AD277" s="59"/>
      <c r="AE277" s="59"/>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c r="BJ277" s="7"/>
      <c r="BK277" s="7"/>
      <c r="BL277" s="7"/>
    </row>
    <row r="278" spans="1:64" ht="12.75">
      <c r="A278" s="7"/>
      <c r="B278" s="7"/>
      <c r="C278" s="7"/>
      <c r="D278" s="7"/>
      <c r="E278" s="7"/>
      <c r="F278" s="7"/>
      <c r="G278" s="7"/>
      <c r="H278" s="7"/>
      <c r="I278" s="7"/>
      <c r="J278" s="7"/>
      <c r="K278" s="7"/>
      <c r="L278" s="7"/>
      <c r="M278" s="7"/>
      <c r="N278" s="59"/>
      <c r="O278" s="59"/>
      <c r="P278" s="59"/>
      <c r="Q278" s="59"/>
      <c r="R278" s="59"/>
      <c r="S278" s="59"/>
      <c r="T278" s="59"/>
      <c r="U278" s="59"/>
      <c r="V278" s="59"/>
      <c r="W278" s="59"/>
      <c r="X278" s="59"/>
      <c r="Y278" s="59"/>
      <c r="Z278" s="59"/>
      <c r="AA278" s="59"/>
      <c r="AB278" s="59"/>
      <c r="AC278" s="59"/>
      <c r="AD278" s="59"/>
      <c r="AE278" s="59"/>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c r="BJ278" s="7"/>
      <c r="BK278" s="7"/>
      <c r="BL278" s="7"/>
    </row>
    <row r="279" spans="15:64" ht="12.75">
      <c r="O279" s="59"/>
      <c r="P279" s="59"/>
      <c r="Q279" s="59"/>
      <c r="R279" s="59"/>
      <c r="S279" s="59"/>
      <c r="T279" s="59"/>
      <c r="U279" s="59"/>
      <c r="V279" s="59"/>
      <c r="W279" s="59"/>
      <c r="X279" s="59"/>
      <c r="Y279" s="59"/>
      <c r="Z279" s="59"/>
      <c r="AA279" s="59"/>
      <c r="AB279" s="59"/>
      <c r="AC279" s="59"/>
      <c r="AD279" s="59"/>
      <c r="AE279" s="59"/>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c r="BJ279" s="7"/>
      <c r="BK279" s="7"/>
      <c r="BL279" s="7"/>
    </row>
    <row r="280" spans="15:64" ht="12.75">
      <c r="O280" s="59"/>
      <c r="P280" s="59"/>
      <c r="Q280" s="59"/>
      <c r="R280" s="59"/>
      <c r="S280" s="59"/>
      <c r="T280" s="59"/>
      <c r="U280" s="59"/>
      <c r="V280" s="59"/>
      <c r="W280" s="59"/>
      <c r="X280" s="59"/>
      <c r="Y280" s="59"/>
      <c r="Z280" s="59"/>
      <c r="AA280" s="59"/>
      <c r="AB280" s="59"/>
      <c r="AC280" s="59"/>
      <c r="AD280" s="59"/>
      <c r="AE280" s="59"/>
      <c r="AF280" s="7"/>
      <c r="AG280" s="7"/>
      <c r="AH280" s="7"/>
      <c r="AI280" s="7"/>
      <c r="AJ280" s="7"/>
      <c r="AK280" s="7"/>
      <c r="AL280" s="7"/>
      <c r="AM280" s="7"/>
      <c r="AN280" s="7"/>
      <c r="AO280" s="7"/>
      <c r="AP280" s="7"/>
      <c r="AQ280" s="7"/>
      <c r="AR280" s="7"/>
      <c r="AS280" s="7"/>
      <c r="AT280" s="7"/>
      <c r="AU280" s="7"/>
      <c r="AV280" s="7"/>
      <c r="AW280" s="7"/>
      <c r="AX280" s="7"/>
      <c r="AY280" s="7"/>
      <c r="AZ280" s="7"/>
      <c r="BA280" s="7"/>
      <c r="BB280" s="7"/>
      <c r="BC280" s="7"/>
      <c r="BD280" s="7"/>
      <c r="BE280" s="7"/>
      <c r="BF280" s="7"/>
      <c r="BG280" s="7"/>
      <c r="BH280" s="7"/>
      <c r="BI280" s="7"/>
      <c r="BJ280" s="7"/>
      <c r="BK280" s="7"/>
      <c r="BL280" s="7"/>
    </row>
    <row r="281" spans="15:64" ht="12.75">
      <c r="O281" s="59"/>
      <c r="P281" s="59"/>
      <c r="Q281" s="59"/>
      <c r="R281" s="59"/>
      <c r="S281" s="59"/>
      <c r="T281" s="59"/>
      <c r="U281" s="59"/>
      <c r="V281" s="59"/>
      <c r="W281" s="59"/>
      <c r="X281" s="59"/>
      <c r="Y281" s="59"/>
      <c r="Z281" s="59"/>
      <c r="AA281" s="59"/>
      <c r="AB281" s="59"/>
      <c r="AC281" s="59"/>
      <c r="AD281" s="59"/>
      <c r="AE281" s="59"/>
      <c r="AF281" s="7"/>
      <c r="AG281" s="7"/>
      <c r="AH281" s="7"/>
      <c r="AI281" s="7"/>
      <c r="AJ281" s="7"/>
      <c r="AK281" s="7"/>
      <c r="AL281" s="7"/>
      <c r="AM281" s="7"/>
      <c r="AN281" s="7"/>
      <c r="AO281" s="7"/>
      <c r="AP281" s="7"/>
      <c r="AQ281" s="7"/>
      <c r="AR281" s="7"/>
      <c r="AS281" s="7"/>
      <c r="AT281" s="7"/>
      <c r="AU281" s="7"/>
      <c r="AV281" s="7"/>
      <c r="AW281" s="7"/>
      <c r="AX281" s="7"/>
      <c r="AY281" s="7"/>
      <c r="AZ281" s="7"/>
      <c r="BA281" s="7"/>
      <c r="BB281" s="7"/>
      <c r="BC281" s="7"/>
      <c r="BD281" s="7"/>
      <c r="BE281" s="7"/>
      <c r="BF281" s="7"/>
      <c r="BG281" s="7"/>
      <c r="BH281" s="7"/>
      <c r="BI281" s="7"/>
      <c r="BJ281" s="7"/>
      <c r="BK281" s="7"/>
      <c r="BL281" s="7"/>
    </row>
    <row r="282" spans="15:64" ht="12.75">
      <c r="O282" s="59"/>
      <c r="P282" s="59"/>
      <c r="Q282" s="59"/>
      <c r="R282" s="59"/>
      <c r="S282" s="59"/>
      <c r="T282" s="59"/>
      <c r="U282" s="59"/>
      <c r="V282" s="59"/>
      <c r="W282" s="59"/>
      <c r="X282" s="59"/>
      <c r="Y282" s="59"/>
      <c r="Z282" s="59"/>
      <c r="AA282" s="59"/>
      <c r="AB282" s="59"/>
      <c r="AC282" s="59"/>
      <c r="AD282" s="59"/>
      <c r="AE282" s="59"/>
      <c r="AF282" s="7"/>
      <c r="AG282" s="7"/>
      <c r="AH282" s="7"/>
      <c r="AI282" s="7"/>
      <c r="AJ282" s="7"/>
      <c r="AK282" s="7"/>
      <c r="AL282" s="7"/>
      <c r="AM282" s="7"/>
      <c r="AN282" s="7"/>
      <c r="AO282" s="7"/>
      <c r="AP282" s="7"/>
      <c r="AQ282" s="7"/>
      <c r="AR282" s="7"/>
      <c r="AS282" s="7"/>
      <c r="AT282" s="7"/>
      <c r="AU282" s="7"/>
      <c r="AV282" s="7"/>
      <c r="AW282" s="7"/>
      <c r="AX282" s="7"/>
      <c r="AY282" s="7"/>
      <c r="AZ282" s="7"/>
      <c r="BA282" s="7"/>
      <c r="BB282" s="7"/>
      <c r="BC282" s="7"/>
      <c r="BD282" s="7"/>
      <c r="BE282" s="7"/>
      <c r="BF282" s="7"/>
      <c r="BG282" s="7"/>
      <c r="BH282" s="7"/>
      <c r="BI282" s="7"/>
      <c r="BJ282" s="7"/>
      <c r="BK282" s="7"/>
      <c r="BL282" s="7"/>
    </row>
    <row r="283" spans="15:64" ht="12.75">
      <c r="O283" s="59"/>
      <c r="P283" s="59"/>
      <c r="Q283" s="59"/>
      <c r="R283" s="59"/>
      <c r="S283" s="59"/>
      <c r="T283" s="59"/>
      <c r="U283" s="59"/>
      <c r="V283" s="59"/>
      <c r="W283" s="59"/>
      <c r="X283" s="59"/>
      <c r="Y283" s="59"/>
      <c r="Z283" s="59"/>
      <c r="AA283" s="59"/>
      <c r="AB283" s="59"/>
      <c r="AC283" s="59"/>
      <c r="AD283" s="59"/>
      <c r="AE283" s="59"/>
      <c r="AF283" s="7"/>
      <c r="AG283" s="7"/>
      <c r="AH283" s="7"/>
      <c r="AI283" s="7"/>
      <c r="AJ283" s="7"/>
      <c r="AK283" s="7"/>
      <c r="AL283" s="7"/>
      <c r="AM283" s="7"/>
      <c r="AN283" s="7"/>
      <c r="AO283" s="7"/>
      <c r="AP283" s="7"/>
      <c r="AQ283" s="7"/>
      <c r="AR283" s="7"/>
      <c r="AS283" s="7"/>
      <c r="AT283" s="7"/>
      <c r="AU283" s="7"/>
      <c r="AV283" s="7"/>
      <c r="AW283" s="7"/>
      <c r="AX283" s="7"/>
      <c r="AY283" s="7"/>
      <c r="AZ283" s="7"/>
      <c r="BA283" s="7"/>
      <c r="BB283" s="7"/>
      <c r="BC283" s="7"/>
      <c r="BD283" s="7"/>
      <c r="BE283" s="7"/>
      <c r="BF283" s="7"/>
      <c r="BG283" s="7"/>
      <c r="BH283" s="7"/>
      <c r="BI283" s="7"/>
      <c r="BJ283" s="7"/>
      <c r="BK283" s="7"/>
      <c r="BL283" s="7"/>
    </row>
    <row r="284" spans="15:64" ht="12.75">
      <c r="O284" s="59"/>
      <c r="P284" s="59"/>
      <c r="Q284" s="59"/>
      <c r="R284" s="59"/>
      <c r="S284" s="59"/>
      <c r="T284" s="59"/>
      <c r="U284" s="59"/>
      <c r="V284" s="59"/>
      <c r="W284" s="59"/>
      <c r="X284" s="59"/>
      <c r="Y284" s="59"/>
      <c r="Z284" s="59"/>
      <c r="AA284" s="59"/>
      <c r="AB284" s="59"/>
      <c r="AC284" s="59"/>
      <c r="AD284" s="59"/>
      <c r="AE284" s="59"/>
      <c r="AF284" s="7"/>
      <c r="AG284" s="7"/>
      <c r="AH284" s="7"/>
      <c r="AI284" s="7"/>
      <c r="AJ284" s="7"/>
      <c r="AK284" s="7"/>
      <c r="AL284" s="7"/>
      <c r="AM284" s="7"/>
      <c r="AN284" s="7"/>
      <c r="AO284" s="7"/>
      <c r="AP284" s="7"/>
      <c r="AQ284" s="7"/>
      <c r="AR284" s="7"/>
      <c r="AS284" s="7"/>
      <c r="AT284" s="7"/>
      <c r="AU284" s="7"/>
      <c r="AV284" s="7"/>
      <c r="AW284" s="7"/>
      <c r="AX284" s="7"/>
      <c r="AY284" s="7"/>
      <c r="AZ284" s="7"/>
      <c r="BA284" s="7"/>
      <c r="BB284" s="7"/>
      <c r="BC284" s="7"/>
      <c r="BD284" s="7"/>
      <c r="BE284" s="7"/>
      <c r="BF284" s="7"/>
      <c r="BG284" s="7"/>
      <c r="BH284" s="7"/>
      <c r="BI284" s="7"/>
      <c r="BJ284" s="7"/>
      <c r="BK284" s="7"/>
      <c r="BL284" s="7"/>
    </row>
    <row r="285" spans="15:64" ht="12.75">
      <c r="O285" s="59"/>
      <c r="P285" s="59"/>
      <c r="Q285" s="59"/>
      <c r="R285" s="59"/>
      <c r="S285" s="59"/>
      <c r="T285" s="59"/>
      <c r="U285" s="59"/>
      <c r="V285" s="59"/>
      <c r="W285" s="59"/>
      <c r="X285" s="59"/>
      <c r="Y285" s="59"/>
      <c r="Z285" s="59"/>
      <c r="AA285" s="59"/>
      <c r="AB285" s="59"/>
      <c r="AC285" s="59"/>
      <c r="AD285" s="59"/>
      <c r="AE285" s="59"/>
      <c r="AF285" s="7"/>
      <c r="AG285" s="7"/>
      <c r="AH285" s="7"/>
      <c r="AI285" s="7"/>
      <c r="AJ285" s="7"/>
      <c r="AK285" s="7"/>
      <c r="AL285" s="7"/>
      <c r="AM285" s="7"/>
      <c r="AN285" s="7"/>
      <c r="AO285" s="7"/>
      <c r="AP285" s="7"/>
      <c r="AQ285" s="7"/>
      <c r="AR285" s="7"/>
      <c r="AS285" s="7"/>
      <c r="AT285" s="7"/>
      <c r="AU285" s="7"/>
      <c r="AV285" s="7"/>
      <c r="AW285" s="7"/>
      <c r="AX285" s="7"/>
      <c r="AY285" s="7"/>
      <c r="AZ285" s="7"/>
      <c r="BA285" s="7"/>
      <c r="BB285" s="7"/>
      <c r="BC285" s="7"/>
      <c r="BD285" s="7"/>
      <c r="BE285" s="7"/>
      <c r="BF285" s="7"/>
      <c r="BG285" s="7"/>
      <c r="BH285" s="7"/>
      <c r="BI285" s="7"/>
      <c r="BJ285" s="7"/>
      <c r="BK285" s="7"/>
      <c r="BL285" s="7"/>
    </row>
    <row r="286" spans="15:64" ht="12.75">
      <c r="O286" s="59"/>
      <c r="P286" s="59"/>
      <c r="Q286" s="59"/>
      <c r="R286" s="59"/>
      <c r="S286" s="59"/>
      <c r="T286" s="59"/>
      <c r="U286" s="59"/>
      <c r="V286" s="59"/>
      <c r="W286" s="59"/>
      <c r="X286" s="59"/>
      <c r="Y286" s="59"/>
      <c r="Z286" s="59"/>
      <c r="AA286" s="59"/>
      <c r="AB286" s="59"/>
      <c r="AC286" s="59"/>
      <c r="AD286" s="59"/>
      <c r="AE286" s="59"/>
      <c r="AF286" s="7"/>
      <c r="AG286" s="7"/>
      <c r="AH286" s="7"/>
      <c r="AI286" s="7"/>
      <c r="AJ286" s="7"/>
      <c r="AK286" s="7"/>
      <c r="AL286" s="7"/>
      <c r="AM286" s="7"/>
      <c r="AN286" s="7"/>
      <c r="AO286" s="7"/>
      <c r="AP286" s="7"/>
      <c r="AQ286" s="7"/>
      <c r="AR286" s="7"/>
      <c r="AS286" s="7"/>
      <c r="AT286" s="7"/>
      <c r="AU286" s="7"/>
      <c r="AV286" s="7"/>
      <c r="AW286" s="7"/>
      <c r="AX286" s="7"/>
      <c r="AY286" s="7"/>
      <c r="AZ286" s="7"/>
      <c r="BA286" s="7"/>
      <c r="BB286" s="7"/>
      <c r="BC286" s="7"/>
      <c r="BD286" s="7"/>
      <c r="BE286" s="7"/>
      <c r="BF286" s="7"/>
      <c r="BG286" s="7"/>
      <c r="BH286" s="7"/>
      <c r="BI286" s="7"/>
      <c r="BJ286" s="7"/>
      <c r="BK286" s="7"/>
      <c r="BL286" s="7"/>
    </row>
  </sheetData>
  <sheetProtection password="DA50" sheet="1"/>
  <mergeCells count="72">
    <mergeCell ref="B101:C101"/>
    <mergeCell ref="E102:F102"/>
    <mergeCell ref="G102:H102"/>
    <mergeCell ref="E88:F94"/>
    <mergeCell ref="G88:H94"/>
    <mergeCell ref="E101:F101"/>
    <mergeCell ref="G101:H101"/>
    <mergeCell ref="E100:F100"/>
    <mergeCell ref="G100:H100"/>
    <mergeCell ref="E99:F99"/>
    <mergeCell ref="B86:C86"/>
    <mergeCell ref="B85:C85"/>
    <mergeCell ref="B99:C99"/>
    <mergeCell ref="B61:C61"/>
    <mergeCell ref="B67:C67"/>
    <mergeCell ref="B76:C76"/>
    <mergeCell ref="B77:C77"/>
    <mergeCell ref="B75:C75"/>
    <mergeCell ref="B71:C71"/>
    <mergeCell ref="B90:C90"/>
    <mergeCell ref="F72:L77"/>
    <mergeCell ref="G99:H99"/>
    <mergeCell ref="E97:F97"/>
    <mergeCell ref="G96:H96"/>
    <mergeCell ref="I95:M101"/>
    <mergeCell ref="G98:H98"/>
    <mergeCell ref="E98:F98"/>
    <mergeCell ref="G97:H97"/>
    <mergeCell ref="G95:H95"/>
    <mergeCell ref="E95:F95"/>
    <mergeCell ref="B100:C100"/>
    <mergeCell ref="B74:C74"/>
    <mergeCell ref="B98:C98"/>
    <mergeCell ref="B95:C95"/>
    <mergeCell ref="A3:M3"/>
    <mergeCell ref="B92:C92"/>
    <mergeCell ref="B65:C65"/>
    <mergeCell ref="B68:C68"/>
    <mergeCell ref="B84:C84"/>
    <mergeCell ref="D56:D57"/>
    <mergeCell ref="B58:C58"/>
    <mergeCell ref="B63:C63"/>
    <mergeCell ref="A56:A57"/>
    <mergeCell ref="B64:C64"/>
    <mergeCell ref="B56:C57"/>
    <mergeCell ref="B62:C62"/>
    <mergeCell ref="B59:C59"/>
    <mergeCell ref="B60:C60"/>
    <mergeCell ref="B89:C89"/>
    <mergeCell ref="B97:C97"/>
    <mergeCell ref="B96:C96"/>
    <mergeCell ref="E96:F96"/>
    <mergeCell ref="B94:C94"/>
    <mergeCell ref="I93:M93"/>
    <mergeCell ref="B93:C93"/>
    <mergeCell ref="B87:C87"/>
    <mergeCell ref="B91:C91"/>
    <mergeCell ref="B69:C69"/>
    <mergeCell ref="F78:L85"/>
    <mergeCell ref="I86:M92"/>
    <mergeCell ref="B88:C88"/>
    <mergeCell ref="F65:L71"/>
    <mergeCell ref="B66:C66"/>
    <mergeCell ref="B80:C80"/>
    <mergeCell ref="B70:C70"/>
    <mergeCell ref="B72:C72"/>
    <mergeCell ref="B73:C73"/>
    <mergeCell ref="B83:C83"/>
    <mergeCell ref="B82:C82"/>
    <mergeCell ref="B79:C79"/>
    <mergeCell ref="B81:C81"/>
    <mergeCell ref="B78:C78"/>
  </mergeCells>
  <conditionalFormatting sqref="A9:L11">
    <cfRule type="expression" priority="63" dxfId="99">
      <formula>YEAR($L$7)&gt;1971</formula>
    </cfRule>
  </conditionalFormatting>
  <conditionalFormatting sqref="A11:L11">
    <cfRule type="expression" priority="68" dxfId="100">
      <formula>$L$9&lt;&gt;"žena"</formula>
    </cfRule>
  </conditionalFormatting>
  <conditionalFormatting sqref="I34:J34 L34 A44:K44 M44 A41:M43 A40:K40 M40 A35:M39 A34:E34">
    <cfRule type="expression" priority="60" dxfId="99">
      <formula>$C$34&lt;0</formula>
    </cfRule>
  </conditionalFormatting>
  <conditionalFormatting sqref="A47:J47 A46:E46 K46:L46">
    <cfRule type="expression" priority="59" dxfId="101">
      <formula>$C$46&lt;0</formula>
    </cfRule>
  </conditionalFormatting>
  <conditionalFormatting sqref="A46:L46">
    <cfRule type="expression" priority="54" dxfId="102">
      <formula>$C$46&gt;0</formula>
    </cfRule>
  </conditionalFormatting>
  <conditionalFormatting sqref="A42:M44">
    <cfRule type="expression" priority="80" dxfId="99">
      <formula>$L$34="ne"</formula>
    </cfRule>
  </conditionalFormatting>
  <conditionalFormatting sqref="A38:K42">
    <cfRule type="expression" priority="81" dxfId="99">
      <formula>$L$34="ano"</formula>
    </cfRule>
  </conditionalFormatting>
  <conditionalFormatting sqref="A38:H40 A44:H44">
    <cfRule type="expression" priority="82" dxfId="99">
      <formula>$L$34="polovinu"</formula>
    </cfRule>
  </conditionalFormatting>
  <conditionalFormatting sqref="B58:D100">
    <cfRule type="expression" priority="50" dxfId="103">
      <formula>$A58&lt;YEAR(datprizn)</formula>
    </cfRule>
  </conditionalFormatting>
  <conditionalFormatting sqref="G95:H100">
    <cfRule type="expression" priority="36" dxfId="104">
      <formula>$A95&lt;=YEAR(datprizn)-1</formula>
    </cfRule>
  </conditionalFormatting>
  <conditionalFormatting sqref="I86 I93 E88:H100">
    <cfRule type="expression" priority="35" dxfId="100">
      <formula>YEAR(datprizn)&lt;=2024</formula>
    </cfRule>
  </conditionalFormatting>
  <conditionalFormatting sqref="E95:F100">
    <cfRule type="expression" priority="32" dxfId="105">
      <formula>AND($A95&lt;=YEAR(datprizn)-1,YEAR(datprizn)&gt;2024)</formula>
    </cfRule>
  </conditionalFormatting>
  <conditionalFormatting sqref="L28">
    <cfRule type="cellIs" priority="31" dxfId="106" operator="equal">
      <formula>0</formula>
    </cfRule>
  </conditionalFormatting>
  <conditionalFormatting sqref="F65">
    <cfRule type="expression" priority="4" dxfId="107" stopIfTrue="1">
      <formula>YEAR(datprizn)&lt;&gt;2022</formula>
    </cfRule>
  </conditionalFormatting>
  <conditionalFormatting sqref="F72:L77">
    <cfRule type="expression" priority="3" dxfId="107" stopIfTrue="1">
      <formula>YEAR(datprizn)&lt;2023</formula>
    </cfRule>
  </conditionalFormatting>
  <conditionalFormatting sqref="F78:L85">
    <cfRule type="expression" priority="2" dxfId="107" stopIfTrue="1">
      <formula>NOT(AND(YEAR(datprizn)=2023,MONTH(datprizn)&gt;5))</formula>
    </cfRule>
  </conditionalFormatting>
  <conditionalFormatting sqref="I95:M101">
    <cfRule type="expression" priority="1" dxfId="107" stopIfTrue="1">
      <formula>COUNTIF(G95:H100,"&gt;60000")=0</formula>
    </cfRule>
  </conditionalFormatting>
  <dataValidations count="11">
    <dataValidation type="list" allowBlank="1" showErrorMessage="1" promptTitle="Pohlaví:" prompt="Vyberte možnost ze seznamu." errorTitle="Chyba položky pohlaví" error="Lze vyplnit jen hodnotu ze seznamu, tj. hodnotu muž nebo žena." sqref="L9">
      <formula1>vyberpohlavi</formula1>
    </dataValidation>
    <dataValidation type="date" operator="greaterThan" allowBlank="1" showInputMessage="1" showErrorMessage="1" promptTitle="Datum narození" prompt="Zadejte datum ve formátu DD.MM.RRRR (např. 1.10.1954).&#10;" errorTitle="Chyba položky narození" error="Zadejte datum ve formátu DD.MM.RRRR (např. 1.10.1954). Rozsah je možný od 1.1.1900." sqref="L7">
      <formula1>1</formula1>
    </dataValidation>
    <dataValidation type="date" allowBlank="1" showInputMessage="1" showErrorMessage="1" promptTitle="Datum přiznání důchodu" prompt="V případě předčasného starobního důchodu zadejte pro správný výpočet aktuální kalendářní datum nebo vyšší. Tento důchod nelze přiznat zpětně. Zadejte datum ve formátu DD.MM.RRRR (např. 31.12.2015)." errorTitle="Chyba položky datum přiznání" error="Zadejte datum ve formátu DD.MM.RRRR (např. 31.12.2015). Výpočet starobního důchodu po 31.12.2029 nelze provést." sqref="L13">
      <formula1>35065</formula1>
      <formula2>47483</formula2>
    </dataValidation>
    <dataValidation allowBlank="1" showErrorMessage="1" prompt="Počítáno automaticky." sqref="O24:O26 L24:L25 L27:L28"/>
    <dataValidation type="whole" allowBlank="1" showInputMessage="1" showErrorMessage="1" errorTitle="Pozor" error="Lze zadat pouze celé číslo od 0 do 366." sqref="D58:D96 D98">
      <formula1>0</formula1>
      <formula2>366</formula2>
    </dataValidation>
    <dataValidation type="whole" allowBlank="1" showInputMessage="1" showErrorMessage="1" error="Zadejte celé číslo." sqref="B58:C96 B98:C98">
      <formula1>0</formula1>
      <formula2>1000000000</formula2>
    </dataValidation>
    <dataValidation allowBlank="1" showInputMessage="1" showErrorMessage="1" promptTitle="Nárok na starobní důchod" prompt="Nárok na starobní důchod vzniká dosažením důchodového věku a získaním potřebné doby pojištění." sqref="L22 O22"/>
    <dataValidation type="whole" allowBlank="1" showInputMessage="1" showErrorMessage="1" promptTitle="Zadejte počet dětí" prompt="Zadejte počet vychovaných dětí." errorTitle="Chyba položky počet dětí" error="Zde lze vyplnit jen celé číslo, které znamená počet dětí.&#10;" sqref="L11">
      <formula1>0</formula1>
      <formula2>20</formula2>
    </dataValidation>
    <dataValidation type="whole" operator="greaterThanOrEqual" allowBlank="1" showInputMessage="1" showErrorMessage="1" promptTitle="Počet let" prompt="Zadejte celé číslo, které udává celkový počet let pojištění k datu nároku na důchod. Nejméně však minimální dobu pojištění pro nárok na starobní (předčasný) důchod." errorTitle="Chyba položky počet let" error="POČET LET DOBY POJIŠTĚNÍ BYL ZADÁN NIŽŠÍ, NEŽ ZÁKONEM STANOVENÁ MINIMÁLNÍ DOBA POJIŠTĚNÍ." sqref="L17">
      <formula1>minpoclet</formula1>
    </dataValidation>
    <dataValidation type="whole" operator="lessThanOrEqual" allowBlank="1" showInputMessage="1" showErrorMessage="1" promptTitle="Přesluhování" prompt="Na IOLDP je celková doba pojištění, proto ji nezapomeňte upravit na celkový počet dní přesluhování. Počet dnů nesmí být vyšší než počet dní mezi datem nároku na starobní důchod a datem přiznání starobního důchodu." error="Hodnota je vyšší než je rozdíl mezi daty nárok na starobní důchodu a předpokládané datum přiznání starobního důchodu." sqref="L19">
      <formula1>O19</formula1>
    </dataValidation>
    <dataValidation allowBlank="1" showInputMessage="1" showErrorMessage="1" prompt="Předčasný starobní důchod nelze přiznat zpětně." sqref="L26"/>
  </dataValidations>
  <hyperlinks>
    <hyperlink ref="I93:M93" r:id="rId1" display="Návod ke kalkulačce"/>
  </hyperlinks>
  <printOptions/>
  <pageMargins left="0.7" right="0.7" top="0.787401575" bottom="0.7874015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I84"/>
  <sheetViews>
    <sheetView showGridLines="0" showRowColHeaders="0" zoomScalePageLayoutView="0" workbookViewId="0" topLeftCell="A1">
      <selection activeCell="E4" sqref="E4:F4"/>
    </sheetView>
  </sheetViews>
  <sheetFormatPr defaultColWidth="9.140625" defaultRowHeight="12.75"/>
  <cols>
    <col min="1" max="1" width="5.00390625" style="5" customWidth="1"/>
    <col min="2" max="2" width="4.8515625" style="5" customWidth="1"/>
    <col min="3" max="3" width="4.00390625" style="5" customWidth="1"/>
    <col min="4" max="4" width="4.140625" style="5" customWidth="1"/>
    <col min="5" max="5" width="6.57421875" style="5" customWidth="1"/>
    <col min="6" max="6" width="8.57421875" style="5" customWidth="1"/>
    <col min="7" max="7" width="7.28125" style="5" customWidth="1"/>
    <col min="8" max="8" width="5.00390625" style="5" bestFit="1" customWidth="1"/>
    <col min="9" max="9" width="7.57421875" style="5" bestFit="1" customWidth="1"/>
    <col min="10" max="10" width="2.140625" style="5" customWidth="1"/>
    <col min="11" max="11" width="1.7109375" style="5" customWidth="1"/>
    <col min="12" max="12" width="8.140625" style="5" customWidth="1"/>
    <col min="13" max="13" width="8.00390625" style="5" bestFit="1" customWidth="1"/>
    <col min="14" max="14" width="3.00390625" style="5" customWidth="1"/>
    <col min="15" max="15" width="9.7109375" style="5" customWidth="1"/>
    <col min="16" max="16" width="3.7109375" style="5" customWidth="1"/>
    <col min="17" max="18" width="9.140625" style="5" hidden="1" customWidth="1"/>
    <col min="19" max="20" width="11.140625" style="5" hidden="1" customWidth="1"/>
    <col min="21" max="21" width="14.28125" style="5" hidden="1" customWidth="1"/>
    <col min="22" max="22" width="11.7109375" style="5" hidden="1" customWidth="1"/>
    <col min="23" max="23" width="13.421875" style="5" hidden="1" customWidth="1"/>
    <col min="24" max="29" width="9.140625" style="5" hidden="1" customWidth="1"/>
    <col min="30" max="30" width="8.8515625" style="5" hidden="1" customWidth="1"/>
    <col min="31" max="31" width="9.140625" style="5" hidden="1" customWidth="1"/>
    <col min="32" max="32" width="4.28125" style="5" hidden="1" customWidth="1"/>
    <col min="33" max="34" width="9.140625" style="5" hidden="1" customWidth="1"/>
    <col min="35" max="16384" width="9.140625" style="5" customWidth="1"/>
  </cols>
  <sheetData>
    <row r="1" spans="1:32" ht="13.5" thickBot="1">
      <c r="A1" s="448" t="s">
        <v>109</v>
      </c>
      <c r="B1" s="448"/>
      <c r="C1" s="448"/>
      <c r="D1" s="448"/>
      <c r="E1" s="448"/>
      <c r="F1" s="448"/>
      <c r="G1" s="448"/>
      <c r="H1" s="448"/>
      <c r="I1" s="448"/>
      <c r="J1" s="448"/>
      <c r="K1" s="448"/>
      <c r="L1" s="448"/>
      <c r="M1" s="448"/>
      <c r="N1" s="447" t="str">
        <f>IF(ISBLANK(datprizn)," ",YEAR(datprizn))</f>
        <v> </v>
      </c>
      <c r="O1" s="447"/>
      <c r="P1" s="87"/>
      <c r="R1" s="11"/>
      <c r="S1" s="11"/>
      <c r="T1" s="11"/>
      <c r="U1" s="11"/>
      <c r="V1" s="11"/>
      <c r="W1" s="11"/>
      <c r="X1" s="11"/>
      <c r="Y1" s="11"/>
      <c r="Z1" s="11"/>
      <c r="AA1" s="11"/>
      <c r="AB1" s="11"/>
      <c r="AC1" s="11"/>
      <c r="AD1" s="11"/>
      <c r="AE1" s="11"/>
      <c r="AF1" s="8"/>
    </row>
    <row r="2" spans="1:32" ht="12" customHeight="1">
      <c r="A2" s="57"/>
      <c r="B2" s="57"/>
      <c r="C2" s="57"/>
      <c r="D2" s="57"/>
      <c r="E2" s="57"/>
      <c r="F2" s="57"/>
      <c r="G2" s="57"/>
      <c r="H2" s="57"/>
      <c r="I2" s="57"/>
      <c r="J2" s="57"/>
      <c r="K2" s="57"/>
      <c r="L2" s="57"/>
      <c r="M2" s="33"/>
      <c r="N2" s="35"/>
      <c r="O2" s="35"/>
      <c r="P2" s="35"/>
      <c r="R2" s="11"/>
      <c r="S2" s="11"/>
      <c r="T2" s="11"/>
      <c r="U2" s="11"/>
      <c r="V2" s="11"/>
      <c r="W2" s="11"/>
      <c r="X2" s="11"/>
      <c r="Y2" s="11"/>
      <c r="Z2" s="11"/>
      <c r="AA2" s="11"/>
      <c r="AB2" s="11"/>
      <c r="AC2" s="11"/>
      <c r="AD2" s="11"/>
      <c r="AE2" s="11"/>
      <c r="AF2" s="8"/>
    </row>
    <row r="3" spans="18:32" ht="7.5" customHeight="1">
      <c r="R3" s="11"/>
      <c r="S3" s="11"/>
      <c r="T3" s="11"/>
      <c r="U3" s="11"/>
      <c r="V3" s="11"/>
      <c r="W3" s="11"/>
      <c r="X3" s="11"/>
      <c r="Y3" s="11"/>
      <c r="Z3" s="11"/>
      <c r="AA3" s="11"/>
      <c r="AB3" s="11"/>
      <c r="AC3" s="11"/>
      <c r="AD3" s="11"/>
      <c r="AE3" s="11"/>
      <c r="AF3" s="8"/>
    </row>
    <row r="4" spans="1:32" s="179" customFormat="1" ht="12" customHeight="1">
      <c r="A4" s="179" t="s">
        <v>44</v>
      </c>
      <c r="E4" s="479" t="str">
        <f>narokst</f>
        <v> </v>
      </c>
      <c r="F4" s="480"/>
      <c r="R4" s="177"/>
      <c r="S4" s="177"/>
      <c r="T4" s="177"/>
      <c r="U4" s="177"/>
      <c r="V4" s="177"/>
      <c r="W4" s="177"/>
      <c r="X4" s="177"/>
      <c r="Y4" s="177"/>
      <c r="Z4" s="177"/>
      <c r="AA4" s="177"/>
      <c r="AB4" s="177"/>
      <c r="AC4" s="177"/>
      <c r="AD4" s="177"/>
      <c r="AE4" s="177"/>
      <c r="AF4" s="178"/>
    </row>
    <row r="5" spans="18:32" ht="7.5" customHeight="1">
      <c r="R5" s="11"/>
      <c r="S5" s="11"/>
      <c r="T5" s="11"/>
      <c r="U5" s="11"/>
      <c r="V5" s="11"/>
      <c r="W5" s="39"/>
      <c r="X5" s="11"/>
      <c r="Y5" s="11"/>
      <c r="Z5" s="11"/>
      <c r="AA5" s="11"/>
      <c r="AB5" s="11"/>
      <c r="AC5" s="11"/>
      <c r="AD5" s="11"/>
      <c r="AE5" s="11"/>
      <c r="AF5" s="8"/>
    </row>
    <row r="6" spans="1:32" s="179" customFormat="1" ht="12" customHeight="1">
      <c r="A6" s="179" t="s">
        <v>50</v>
      </c>
      <c r="E6" s="479" t="str">
        <f>IF(ISBLANK(datprizn)," ",datprizn)</f>
        <v> </v>
      </c>
      <c r="F6" s="480"/>
      <c r="R6" s="177"/>
      <c r="S6" s="177"/>
      <c r="T6" s="177"/>
      <c r="U6" s="177"/>
      <c r="V6" s="177"/>
      <c r="W6" s="180"/>
      <c r="X6" s="177"/>
      <c r="Y6" s="177"/>
      <c r="Z6" s="177"/>
      <c r="AA6" s="177"/>
      <c r="AB6" s="177"/>
      <c r="AC6" s="177"/>
      <c r="AD6" s="177"/>
      <c r="AE6" s="177"/>
      <c r="AF6" s="178"/>
    </row>
    <row r="7" spans="18:32" ht="7.5" customHeight="1">
      <c r="R7" s="11"/>
      <c r="S7" s="11"/>
      <c r="T7" s="11"/>
      <c r="U7" s="11"/>
      <c r="V7" s="11"/>
      <c r="W7" s="39"/>
      <c r="X7" s="11"/>
      <c r="Y7" s="11"/>
      <c r="Z7" s="11"/>
      <c r="AA7" s="11"/>
      <c r="AB7" s="11"/>
      <c r="AC7" s="11"/>
      <c r="AD7" s="11"/>
      <c r="AE7" s="11"/>
      <c r="AF7" s="8"/>
    </row>
    <row r="8" spans="1:32" s="179" customFormat="1" ht="12" customHeight="1">
      <c r="A8" s="179" t="s">
        <v>75</v>
      </c>
      <c r="E8" s="181">
        <f>(IF(pohlavi="žena",deti,0))</f>
        <v>0</v>
      </c>
      <c r="R8" s="177"/>
      <c r="S8" s="177" t="s">
        <v>39</v>
      </c>
      <c r="T8" s="177"/>
      <c r="U8" s="177"/>
      <c r="V8" s="177"/>
      <c r="W8" s="182" t="e">
        <f ca="1">SUM(OFFSET(T40,0,0,$S$22))</f>
        <v>#REF!</v>
      </c>
      <c r="X8" s="177"/>
      <c r="Y8" s="177"/>
      <c r="Z8" s="177"/>
      <c r="AA8" s="183" t="s">
        <v>45</v>
      </c>
      <c r="AB8" s="177"/>
      <c r="AC8" s="177"/>
      <c r="AD8" s="177"/>
      <c r="AE8" s="177"/>
      <c r="AF8" s="178"/>
    </row>
    <row r="9" spans="5:35" s="7" customFormat="1" ht="7.5" customHeight="1">
      <c r="E9" s="225"/>
      <c r="F9" s="225"/>
      <c r="R9" s="11"/>
      <c r="S9" s="11"/>
      <c r="T9" s="11"/>
      <c r="U9" s="11"/>
      <c r="V9" s="11"/>
      <c r="W9" s="39"/>
      <c r="X9" s="11"/>
      <c r="Y9" s="11"/>
      <c r="Z9" s="11"/>
      <c r="AA9" s="44" t="s">
        <v>46</v>
      </c>
      <c r="AB9" s="11"/>
      <c r="AC9" s="11"/>
      <c r="AD9" s="11"/>
      <c r="AE9" s="11"/>
      <c r="AF9" s="8"/>
      <c r="AG9" s="5"/>
      <c r="AH9" s="5"/>
      <c r="AI9" s="5"/>
    </row>
    <row r="10" spans="1:32" s="179" customFormat="1" ht="12" customHeight="1">
      <c r="A10" s="179" t="s">
        <v>71</v>
      </c>
      <c r="E10" s="226"/>
      <c r="F10" s="226"/>
      <c r="I10" s="184">
        <f>poclet</f>
        <v>0</v>
      </c>
      <c r="K10" s="281" t="s">
        <v>72</v>
      </c>
      <c r="M10" s="185">
        <f>procvym1</f>
        <v>0</v>
      </c>
      <c r="N10" s="179" t="s">
        <v>53</v>
      </c>
      <c r="O10" s="186">
        <f>IF(ISBLANK(datprizn),0,CEILING(vypoctzakl*procvym1,1))</f>
        <v>0</v>
      </c>
      <c r="P10" s="179" t="s">
        <v>56</v>
      </c>
      <c r="R10" s="177"/>
      <c r="S10" s="177" t="s">
        <v>38</v>
      </c>
      <c r="T10" s="177"/>
      <c r="U10" s="177"/>
      <c r="V10" s="177"/>
      <c r="W10" s="182" t="e">
        <f ca="1">SUM(OFFSET('Důchodová a věková kalkulačka'!D58,0,0,$S$22))</f>
        <v>#REF!</v>
      </c>
      <c r="X10" s="177"/>
      <c r="Y10" s="177"/>
      <c r="Z10" s="177"/>
      <c r="AA10" s="183"/>
      <c r="AB10" s="177"/>
      <c r="AC10" s="177"/>
      <c r="AD10" s="177"/>
      <c r="AE10" s="177"/>
      <c r="AF10" s="178"/>
    </row>
    <row r="11" spans="18:35" ht="7.5" customHeight="1">
      <c r="R11" s="10"/>
      <c r="S11" s="11"/>
      <c r="T11" s="11"/>
      <c r="U11" s="11"/>
      <c r="V11" s="11"/>
      <c r="W11" s="39"/>
      <c r="X11" s="10"/>
      <c r="Y11" s="10"/>
      <c r="Z11" s="10"/>
      <c r="AA11" s="10"/>
      <c r="AB11" s="10"/>
      <c r="AC11" s="10"/>
      <c r="AD11" s="10"/>
      <c r="AE11" s="10"/>
      <c r="AF11" s="7"/>
      <c r="AG11" s="7"/>
      <c r="AH11" s="7"/>
      <c r="AI11" s="7"/>
    </row>
    <row r="12" spans="1:32" s="179" customFormat="1" ht="12" customHeight="1">
      <c r="A12" s="179" t="s">
        <v>51</v>
      </c>
      <c r="E12" s="187">
        <f>IF(ISBLANK(dnyponaroku),0,dnyponaroku)</f>
        <v>0</v>
      </c>
      <c r="F12" s="179" t="s">
        <v>95</v>
      </c>
      <c r="G12" s="188">
        <f>IF(E12=0,0,doba1+doba2+doba3+doba4)</f>
        <v>0</v>
      </c>
      <c r="H12" s="179" t="s">
        <v>96</v>
      </c>
      <c r="I12" s="281"/>
      <c r="M12" s="185">
        <f>procvym2</f>
        <v>0</v>
      </c>
      <c r="N12" s="227" t="s">
        <v>53</v>
      </c>
      <c r="O12" s="186">
        <f>IF(ISBLANK(datprizn),0,CEILING(vypoctzakl*procvym2,1))</f>
        <v>0</v>
      </c>
      <c r="P12" s="179" t="s">
        <v>56</v>
      </c>
      <c r="R12" s="177"/>
      <c r="S12" s="177" t="s">
        <v>89</v>
      </c>
      <c r="T12" s="177"/>
      <c r="U12" s="177"/>
      <c r="V12" s="177"/>
      <c r="W12" s="182">
        <f>DATE(YEAR(datprizn)-1,12,31)-DATE(1986,1,1)+1</f>
        <v>662550</v>
      </c>
      <c r="X12" s="177"/>
      <c r="Y12" s="177"/>
      <c r="Z12" s="177"/>
      <c r="AA12" s="177"/>
      <c r="AB12" s="177"/>
      <c r="AC12" s="177"/>
      <c r="AD12" s="177"/>
      <c r="AE12" s="177"/>
      <c r="AF12" s="178"/>
    </row>
    <row r="13" spans="14:35" ht="7.5" customHeight="1">
      <c r="N13" s="228"/>
      <c r="R13" s="10"/>
      <c r="S13" s="11"/>
      <c r="T13" s="11"/>
      <c r="U13" s="11"/>
      <c r="V13" s="11"/>
      <c r="W13" s="39"/>
      <c r="X13" s="10"/>
      <c r="Y13" s="10"/>
      <c r="Z13" s="10"/>
      <c r="AA13" s="10"/>
      <c r="AB13" s="10"/>
      <c r="AC13" s="10"/>
      <c r="AD13" s="10"/>
      <c r="AE13" s="10"/>
      <c r="AF13" s="7"/>
      <c r="AG13" s="7"/>
      <c r="AH13" s="7"/>
      <c r="AI13" s="7"/>
    </row>
    <row r="14" spans="1:32" s="179" customFormat="1" ht="12" customHeight="1">
      <c r="A14" s="179" t="s">
        <v>52</v>
      </c>
      <c r="E14" s="187">
        <f>IF(ISBLANK(datprizn),0,IF(datprizn-narokst&gt;0,0,datprizn-narokst))</f>
        <v>0</v>
      </c>
      <c r="F14" s="179" t="s">
        <v>95</v>
      </c>
      <c r="G14" s="188">
        <f>IF(E14=0,0,predodch)</f>
        <v>0</v>
      </c>
      <c r="H14" s="179" t="s">
        <v>96</v>
      </c>
      <c r="M14" s="185">
        <f>IF(ISBLANK(datprizn),0,procvym3)</f>
        <v>0</v>
      </c>
      <c r="N14" s="227" t="s">
        <v>53</v>
      </c>
      <c r="O14" s="186">
        <f>IF(ISBLANK(datprizn),0,-FLOOR(-vypoctzakl*procvym3,1))</f>
        <v>0</v>
      </c>
      <c r="P14" s="179" t="s">
        <v>56</v>
      </c>
      <c r="R14" s="177"/>
      <c r="S14" s="177" t="s">
        <v>40</v>
      </c>
      <c r="T14" s="177"/>
      <c r="U14" s="177"/>
      <c r="V14" s="177"/>
      <c r="W14" s="182" t="e">
        <f>CEILING((uhrnvymerzakl*30.4167)/(dnyvrozh-souhrnvyloudob),1)</f>
        <v>#REF!</v>
      </c>
      <c r="X14" s="177"/>
      <c r="Y14" s="177"/>
      <c r="Z14" s="177"/>
      <c r="AA14" s="177"/>
      <c r="AB14" s="177"/>
      <c r="AC14" s="177"/>
      <c r="AD14" s="177"/>
      <c r="AE14" s="177"/>
      <c r="AF14" s="178"/>
    </row>
    <row r="15" spans="4:32" ht="7.5" customHeight="1">
      <c r="D15" s="7"/>
      <c r="E15" s="7"/>
      <c r="F15" s="7"/>
      <c r="G15" s="165"/>
      <c r="H15" s="7"/>
      <c r="I15" s="7"/>
      <c r="J15" s="7"/>
      <c r="K15" s="7"/>
      <c r="L15" s="7"/>
      <c r="M15" s="229"/>
      <c r="N15" s="230"/>
      <c r="O15" s="231"/>
      <c r="P15" s="232"/>
      <c r="R15" s="11"/>
      <c r="S15" s="11"/>
      <c r="T15" s="11"/>
      <c r="U15" s="10"/>
      <c r="V15" s="10"/>
      <c r="W15" s="105"/>
      <c r="X15" s="10"/>
      <c r="Y15" s="11"/>
      <c r="Z15" s="11"/>
      <c r="AA15" s="11"/>
      <c r="AB15" s="11"/>
      <c r="AC15" s="11"/>
      <c r="AD15" s="11"/>
      <c r="AE15" s="11"/>
      <c r="AF15" s="8"/>
    </row>
    <row r="16" spans="1:32" s="179" customFormat="1" ht="12" customHeight="1">
      <c r="A16" s="178" t="s">
        <v>102</v>
      </c>
      <c r="B16" s="178"/>
      <c r="C16" s="178"/>
      <c r="D16" s="198"/>
      <c r="E16" s="198"/>
      <c r="F16" s="198"/>
      <c r="G16" s="233"/>
      <c r="H16" s="198"/>
      <c r="I16" s="198"/>
      <c r="J16" s="198"/>
      <c r="K16" s="198"/>
      <c r="L16" s="198"/>
      <c r="M16" s="189">
        <f>M10+M12+M14</f>
        <v>0</v>
      </c>
      <c r="N16" s="233" t="s">
        <v>53</v>
      </c>
      <c r="O16" s="190">
        <f>O10+O12+O14</f>
        <v>0</v>
      </c>
      <c r="P16" s="198" t="s">
        <v>56</v>
      </c>
      <c r="R16" s="177"/>
      <c r="S16" s="177" t="s">
        <v>41</v>
      </c>
      <c r="T16" s="177"/>
      <c r="U16" s="182" t="e">
        <f>IF(ovz&lt;=VLOOKUP(YEAR(datprizn),R40:AC83,7),ovz,VLOOKUP(YEAR(datprizn),R40:AC83,7)+(MIN(ovz,VLOOKUP(YEAR(datprizn),R40:AC83,8))-VLOOKUP(YEAR(datprizn),R40:AC83,7))*VLOOKUP(YEAR(datprizn),R40:AC83,10))</f>
        <v>#REF!</v>
      </c>
      <c r="V16" s="182" t="e">
        <f>IF(OR(ovz&lt;=VLOOKUP(YEAR(datprizn),R40:AC83,8),YEAR(datprizn)&gt;2014),0,IF(USS=0,(ovz-VLOOKUP(YEAR(datprizn),R40:AC83,8))*VLOOKUP(YEAR(datprizn),R40:AC83,11),(MIN(ovz,VLOOKUP(YEAR(datprizn),R40:AC83,9))-VLOOKUP(YEAR(datprizn),R40:AC83,8))*VLOOKUP(YEAR(datprizn),R40:AC83,11)+IF(ovz&gt;VLOOKUP(YEAR(datprizn),R40:AC83,9),(ovz-VLOOKUP(YEAR(datprizn),R40:AC83,9))*VLOOKUP(YEAR(datprizn),R40:AC83,12),0)))</f>
        <v>#REF!</v>
      </c>
      <c r="W16" s="182" t="e">
        <f>CEILING(proc1+proc2,1)</f>
        <v>#REF!</v>
      </c>
      <c r="X16" s="191"/>
      <c r="Y16" s="177"/>
      <c r="Z16" s="177"/>
      <c r="AA16" s="177"/>
      <c r="AB16" s="177"/>
      <c r="AC16" s="177"/>
      <c r="AD16" s="177"/>
      <c r="AE16" s="177"/>
      <c r="AF16" s="178"/>
    </row>
    <row r="17" spans="1:32" ht="7.5" customHeight="1">
      <c r="A17" s="8"/>
      <c r="B17" s="8"/>
      <c r="C17" s="8"/>
      <c r="D17" s="7"/>
      <c r="E17" s="7"/>
      <c r="F17" s="7"/>
      <c r="G17" s="165"/>
      <c r="H17" s="7"/>
      <c r="I17" s="7"/>
      <c r="J17" s="7"/>
      <c r="K17" s="7"/>
      <c r="L17" s="7"/>
      <c r="M17" s="166"/>
      <c r="N17" s="165"/>
      <c r="O17" s="167"/>
      <c r="P17" s="7"/>
      <c r="R17" s="11"/>
      <c r="S17" s="11"/>
      <c r="T17" s="11"/>
      <c r="U17" s="10"/>
      <c r="V17" s="10"/>
      <c r="W17" s="106"/>
      <c r="X17" s="10"/>
      <c r="Y17" s="11"/>
      <c r="Z17" s="11"/>
      <c r="AA17" s="11"/>
      <c r="AB17" s="11"/>
      <c r="AC17" s="11"/>
      <c r="AD17" s="11"/>
      <c r="AE17" s="11"/>
      <c r="AF17" s="8"/>
    </row>
    <row r="18" spans="1:32" s="179" customFormat="1" ht="12" customHeight="1">
      <c r="A18" s="178" t="s">
        <v>27</v>
      </c>
      <c r="B18" s="178"/>
      <c r="C18" s="178"/>
      <c r="D18" s="198"/>
      <c r="E18" s="198"/>
      <c r="F18" s="198"/>
      <c r="G18" s="233"/>
      <c r="H18" s="198"/>
      <c r="I18" s="198"/>
      <c r="J18" s="198"/>
      <c r="K18" s="198"/>
      <c r="L18" s="198"/>
      <c r="M18" s="234"/>
      <c r="N18" s="233"/>
      <c r="O18" s="190">
        <f>IF(ISBLANK(datprizn),0,VLOOKUP(YEAR(datprizn),'Základní varianta - podrobnosti'!R40:W83,6))</f>
        <v>0</v>
      </c>
      <c r="P18" s="198" t="s">
        <v>56</v>
      </c>
      <c r="R18" s="177"/>
      <c r="S18" s="177"/>
      <c r="T18" s="177"/>
      <c r="U18" s="191"/>
      <c r="W18" s="192"/>
      <c r="X18" s="191"/>
      <c r="Y18" s="177"/>
      <c r="Z18" s="177"/>
      <c r="AA18" s="177"/>
      <c r="AB18" s="177"/>
      <c r="AC18" s="177"/>
      <c r="AD18" s="177"/>
      <c r="AE18" s="177"/>
      <c r="AF18" s="178"/>
    </row>
    <row r="19" spans="1:32" ht="7.5" customHeight="1">
      <c r="A19" s="8"/>
      <c r="B19" s="8"/>
      <c r="C19" s="8"/>
      <c r="D19" s="7"/>
      <c r="E19" s="7"/>
      <c r="F19" s="7"/>
      <c r="G19" s="165"/>
      <c r="H19" s="7"/>
      <c r="I19" s="7"/>
      <c r="J19" s="7"/>
      <c r="K19" s="7"/>
      <c r="L19" s="7"/>
      <c r="M19" s="166"/>
      <c r="N19" s="165"/>
      <c r="O19" s="235"/>
      <c r="P19" s="236"/>
      <c r="R19" s="11"/>
      <c r="S19" s="11"/>
      <c r="T19" s="11"/>
      <c r="U19" s="10"/>
      <c r="V19" s="10"/>
      <c r="W19" s="106"/>
      <c r="X19" s="10"/>
      <c r="Y19" s="11"/>
      <c r="Z19" s="11"/>
      <c r="AA19" s="11"/>
      <c r="AB19" s="11"/>
      <c r="AC19" s="11"/>
      <c r="AD19" s="11"/>
      <c r="AE19" s="11"/>
      <c r="AF19" s="8"/>
    </row>
    <row r="20" spans="1:32" s="179" customFormat="1" ht="12" customHeight="1">
      <c r="A20" s="178" t="s">
        <v>84</v>
      </c>
      <c r="B20" s="178"/>
      <c r="C20" s="178"/>
      <c r="D20" s="198"/>
      <c r="E20" s="198"/>
      <c r="F20" s="198"/>
      <c r="G20" s="233"/>
      <c r="H20" s="198"/>
      <c r="I20" s="198"/>
      <c r="J20" s="198"/>
      <c r="K20" s="198"/>
      <c r="L20" s="198"/>
      <c r="M20" s="234"/>
      <c r="N20" s="233"/>
      <c r="O20" s="190">
        <f>O16+O18</f>
        <v>0</v>
      </c>
      <c r="P20" s="198" t="s">
        <v>56</v>
      </c>
      <c r="R20" s="177"/>
      <c r="S20" s="177"/>
      <c r="T20" s="330" t="e">
        <f>VLOOKUP(YEAR(datprizn)-2,R40:U83,4)*VLOOKUP(YEAR(datprizn)-2,R40:V83,5)</f>
        <v>#N/A</v>
      </c>
      <c r="U20" s="331" t="e">
        <f>VLOOKUP(YEAR(datprizn)-2,R38:U83,4)</f>
        <v>#N/A</v>
      </c>
      <c r="V20" s="331" t="e">
        <f>VLOOKUP(YEAR(datprizn)-2,R38:V83,5)</f>
        <v>#N/A</v>
      </c>
      <c r="W20" s="192"/>
      <c r="X20" s="191"/>
      <c r="Y20" s="177"/>
      <c r="Z20" s="177"/>
      <c r="AA20" s="177"/>
      <c r="AB20" s="177"/>
      <c r="AC20" s="177"/>
      <c r="AD20" s="177"/>
      <c r="AE20" s="177"/>
      <c r="AF20" s="178"/>
    </row>
    <row r="21" spans="18:35" ht="7.5" customHeight="1">
      <c r="R21" s="10"/>
      <c r="S21" s="10"/>
      <c r="T21" s="141"/>
      <c r="U21" s="10"/>
      <c r="V21" s="10"/>
      <c r="W21" s="31"/>
      <c r="X21" s="10"/>
      <c r="Y21" s="10"/>
      <c r="Z21" s="10"/>
      <c r="AA21" s="10"/>
      <c r="AB21" s="10"/>
      <c r="AC21" s="10"/>
      <c r="AD21" s="10"/>
      <c r="AE21" s="10"/>
      <c r="AF21" s="7"/>
      <c r="AG21" s="7"/>
      <c r="AH21" s="7"/>
      <c r="AI21" s="7"/>
    </row>
    <row r="22" spans="1:32" s="179" customFormat="1" ht="12" customHeight="1">
      <c r="A22" s="237" t="s">
        <v>74</v>
      </c>
      <c r="B22" s="237"/>
      <c r="C22" s="237"/>
      <c r="I22" s="193" t="str">
        <f>IF(ISBLANK(datprizn)," ",YEAR(datprizn))</f>
        <v> </v>
      </c>
      <c r="J22" s="275"/>
      <c r="R22" s="177"/>
      <c r="S22" s="194">
        <f>YEAR(datprizn)-1986</f>
        <v>-86</v>
      </c>
      <c r="T22" s="195">
        <f>IF(OR(YEAR(datprizn)&lt;2011,AND(YEAR(datprizn)=2011,LEFT(TRIM(T24),1)="A")),0,1)</f>
        <v>0</v>
      </c>
      <c r="W22" s="183" t="e">
        <f>U20*V20</f>
        <v>#N/A</v>
      </c>
      <c r="X22" s="177"/>
      <c r="Y22" s="177"/>
      <c r="Z22" s="177"/>
      <c r="AA22" s="177"/>
      <c r="AB22" s="177"/>
      <c r="AC22" s="177"/>
      <c r="AD22" s="177"/>
      <c r="AE22" s="177"/>
      <c r="AF22" s="178"/>
    </row>
    <row r="23" spans="10:35" ht="7.5" customHeight="1">
      <c r="J23" s="105"/>
      <c r="R23" s="10"/>
      <c r="S23" s="10"/>
      <c r="T23" s="15"/>
      <c r="U23" s="10"/>
      <c r="V23" s="10"/>
      <c r="W23" s="31"/>
      <c r="X23" s="10"/>
      <c r="Y23" s="10"/>
      <c r="Z23" s="10"/>
      <c r="AA23" s="10"/>
      <c r="AB23" s="10"/>
      <c r="AC23" s="10"/>
      <c r="AD23" s="10"/>
      <c r="AE23" s="10"/>
      <c r="AF23" s="7"/>
      <c r="AG23" s="7"/>
      <c r="AH23" s="7"/>
      <c r="AI23" s="7"/>
    </row>
    <row r="24" spans="1:35" s="179" customFormat="1" ht="12" customHeight="1">
      <c r="A24" s="179" t="s">
        <v>70</v>
      </c>
      <c r="F24" s="238" t="s">
        <v>57</v>
      </c>
      <c r="G24" s="239" t="str">
        <f>IF(ISBLANK(datprizn)," ",YEAR(datprizn)-1)</f>
        <v> </v>
      </c>
      <c r="I24" s="240"/>
      <c r="J24" s="276"/>
      <c r="R24" s="191"/>
      <c r="S24" s="191"/>
      <c r="T24" s="196" t="str">
        <f>IF(YEAR(datprizn)=2011,IF(datprizn&lt;DATE(2011,9,30),"ano","ne"),"ne")</f>
        <v>ne</v>
      </c>
      <c r="U24" s="191"/>
      <c r="V24" s="191"/>
      <c r="W24" s="197"/>
      <c r="X24" s="191"/>
      <c r="Y24" s="191"/>
      <c r="Z24" s="191"/>
      <c r="AA24" s="191"/>
      <c r="AB24" s="191"/>
      <c r="AC24" s="191"/>
      <c r="AD24" s="191"/>
      <c r="AE24" s="191"/>
      <c r="AF24" s="198"/>
      <c r="AG24" s="198"/>
      <c r="AH24" s="198"/>
      <c r="AI24" s="198"/>
    </row>
    <row r="25" spans="10:35" ht="7.5" customHeight="1">
      <c r="J25" s="105"/>
      <c r="R25" s="10"/>
      <c r="T25" s="142"/>
      <c r="W25" s="164"/>
      <c r="X25" s="10"/>
      <c r="Y25" s="10"/>
      <c r="Z25" s="10"/>
      <c r="AA25" s="10"/>
      <c r="AB25" s="10"/>
      <c r="AC25" s="10"/>
      <c r="AD25" s="10"/>
      <c r="AE25" s="10"/>
      <c r="AF25" s="7"/>
      <c r="AG25" s="7"/>
      <c r="AH25" s="7"/>
      <c r="AI25" s="7"/>
    </row>
    <row r="26" spans="1:35" s="179" customFormat="1" ht="12" customHeight="1">
      <c r="A26" s="241" t="s">
        <v>59</v>
      </c>
      <c r="B26" s="273"/>
      <c r="C26" s="273"/>
      <c r="D26" s="481" t="s">
        <v>61</v>
      </c>
      <c r="E26" s="481"/>
      <c r="F26" s="481"/>
      <c r="G26" s="483">
        <f>IF(ISBLANK(datprizn),0,dnyvrozh)</f>
        <v>0</v>
      </c>
      <c r="H26" s="484"/>
      <c r="J26" s="265"/>
      <c r="K26" s="242"/>
      <c r="R26" s="191"/>
      <c r="T26" s="199"/>
      <c r="X26" s="177"/>
      <c r="Y26" s="191"/>
      <c r="Z26" s="191"/>
      <c r="AA26" s="191"/>
      <c r="AB26" s="191"/>
      <c r="AC26" s="191"/>
      <c r="AD26" s="191"/>
      <c r="AE26" s="191"/>
      <c r="AF26" s="198"/>
      <c r="AG26" s="198"/>
      <c r="AH26" s="198"/>
      <c r="AI26" s="198"/>
    </row>
    <row r="27" spans="1:35" ht="7.5" customHeight="1">
      <c r="A27" s="243"/>
      <c r="B27" s="8"/>
      <c r="C27" s="8"/>
      <c r="D27" s="8"/>
      <c r="E27" s="8"/>
      <c r="F27" s="8"/>
      <c r="G27" s="244"/>
      <c r="H27" s="151"/>
      <c r="J27" s="105"/>
      <c r="R27" s="10"/>
      <c r="S27" s="10"/>
      <c r="T27" s="10"/>
      <c r="U27" s="10"/>
      <c r="V27" s="10"/>
      <c r="W27" s="31"/>
      <c r="X27" s="10"/>
      <c r="Y27" s="10"/>
      <c r="Z27" s="10"/>
      <c r="AA27" s="10"/>
      <c r="AB27" s="10"/>
      <c r="AC27" s="10"/>
      <c r="AD27" s="10"/>
      <c r="AE27" s="10"/>
      <c r="AF27" s="7"/>
      <c r="AG27" s="7"/>
      <c r="AH27" s="7"/>
      <c r="AI27" s="7"/>
    </row>
    <row r="28" spans="1:32" s="179" customFormat="1" ht="12" customHeight="1">
      <c r="A28" s="245"/>
      <c r="B28" s="274"/>
      <c r="C28" s="274"/>
      <c r="D28" s="482" t="s">
        <v>62</v>
      </c>
      <c r="E28" s="482"/>
      <c r="F28" s="482"/>
      <c r="G28" s="471">
        <f>IF(ISERROR(souhrnvyloudob),0,souhrnvyloudob)</f>
        <v>0</v>
      </c>
      <c r="H28" s="472"/>
      <c r="J28" s="265"/>
      <c r="R28" s="177"/>
      <c r="Z28" s="177"/>
      <c r="AA28" s="177"/>
      <c r="AB28" s="177"/>
      <c r="AC28" s="177"/>
      <c r="AD28" s="177"/>
      <c r="AE28" s="177"/>
      <c r="AF28" s="178"/>
    </row>
    <row r="29" spans="10:32" ht="7.5" customHeight="1">
      <c r="J29" s="105"/>
      <c r="R29" s="11"/>
      <c r="S29" s="11"/>
      <c r="T29" s="11"/>
      <c r="U29" s="11"/>
      <c r="V29" s="11"/>
      <c r="W29" s="39"/>
      <c r="X29" s="11"/>
      <c r="Y29" s="11"/>
      <c r="Z29" s="11"/>
      <c r="AA29" s="11"/>
      <c r="AB29" s="11"/>
      <c r="AC29" s="11"/>
      <c r="AD29" s="11"/>
      <c r="AE29" s="11"/>
      <c r="AF29" s="8"/>
    </row>
    <row r="30" spans="1:32" s="179" customFormat="1" ht="12" customHeight="1">
      <c r="A30" s="246"/>
      <c r="B30" s="247"/>
      <c r="C30" s="247"/>
      <c r="D30" s="247"/>
      <c r="E30" s="247"/>
      <c r="F30" s="248" t="s">
        <v>58</v>
      </c>
      <c r="G30" s="469">
        <f>IF(ISBLANK(datprizn),0,uhrnvymerzakl)</f>
        <v>0</v>
      </c>
      <c r="H30" s="469"/>
      <c r="I30" s="470"/>
      <c r="J30" s="277"/>
      <c r="K30" s="198"/>
      <c r="L30" s="198"/>
      <c r="R30" s="177"/>
      <c r="S30" s="200"/>
      <c r="T30" s="200"/>
      <c r="U30" s="200"/>
      <c r="V30" s="200"/>
      <c r="W30" s="177"/>
      <c r="X30" s="177"/>
      <c r="Y30" s="177"/>
      <c r="Z30" s="177"/>
      <c r="AA30" s="177"/>
      <c r="AB30" s="177"/>
      <c r="AC30" s="177"/>
      <c r="AD30" s="177"/>
      <c r="AE30" s="177"/>
      <c r="AF30" s="178"/>
    </row>
    <row r="31" spans="1:32" s="179" customFormat="1" ht="12" customHeight="1">
      <c r="A31" s="249"/>
      <c r="B31" s="178"/>
      <c r="C31" s="178"/>
      <c r="D31" s="198"/>
      <c r="E31" s="198"/>
      <c r="F31" s="250" t="s">
        <v>63</v>
      </c>
      <c r="G31" s="467">
        <f>IF(ISBLANK(datprizn),0,ovz)</f>
        <v>0</v>
      </c>
      <c r="H31" s="467"/>
      <c r="I31" s="468"/>
      <c r="J31" s="278"/>
      <c r="K31" s="198"/>
      <c r="L31" s="198"/>
      <c r="R31" s="177"/>
      <c r="S31" s="200"/>
      <c r="T31" s="200"/>
      <c r="U31" s="200"/>
      <c r="V31" s="200"/>
      <c r="W31" s="177"/>
      <c r="X31" s="177"/>
      <c r="Y31" s="177"/>
      <c r="Z31" s="177"/>
      <c r="AA31" s="177"/>
      <c r="AB31" s="177"/>
      <c r="AC31" s="177"/>
      <c r="AD31" s="177"/>
      <c r="AE31" s="177"/>
      <c r="AF31" s="178"/>
    </row>
    <row r="32" spans="1:32" s="179" customFormat="1" ht="12" customHeight="1">
      <c r="A32" s="245"/>
      <c r="B32" s="274"/>
      <c r="C32" s="274"/>
      <c r="D32" s="251"/>
      <c r="E32" s="251"/>
      <c r="F32" s="252" t="s">
        <v>60</v>
      </c>
      <c r="G32" s="471">
        <f>IF(ISBLANK(datprizn),0,vypoctzakl)</f>
        <v>0</v>
      </c>
      <c r="H32" s="471"/>
      <c r="I32" s="472"/>
      <c r="J32" s="278"/>
      <c r="K32" s="198"/>
      <c r="L32" s="198"/>
      <c r="R32" s="177"/>
      <c r="S32" s="200"/>
      <c r="T32" s="200"/>
      <c r="U32" s="200"/>
      <c r="V32" s="200"/>
      <c r="W32" s="177"/>
      <c r="X32" s="177"/>
      <c r="Y32" s="177"/>
      <c r="Z32" s="177"/>
      <c r="AA32" s="177"/>
      <c r="AB32" s="177"/>
      <c r="AC32" s="177"/>
      <c r="AD32" s="177"/>
      <c r="AE32" s="177"/>
      <c r="AF32" s="178"/>
    </row>
    <row r="33" spans="7:32" ht="7.5" customHeight="1">
      <c r="G33" s="253"/>
      <c r="J33" s="105"/>
      <c r="R33" s="11"/>
      <c r="S33" s="40"/>
      <c r="T33" s="40"/>
      <c r="U33" s="40"/>
      <c r="V33" s="40"/>
      <c r="W33" s="11"/>
      <c r="X33" s="11"/>
      <c r="Y33" s="11"/>
      <c r="Z33" s="11"/>
      <c r="AA33" s="11"/>
      <c r="AB33" s="11"/>
      <c r="AC33" s="11"/>
      <c r="AD33" s="11"/>
      <c r="AE33" s="11"/>
      <c r="AF33" s="8"/>
    </row>
    <row r="34" spans="1:32" s="179" customFormat="1" ht="12" customHeight="1">
      <c r="A34" s="254" t="s">
        <v>64</v>
      </c>
      <c r="B34" s="255"/>
      <c r="C34" s="255"/>
      <c r="D34" s="255"/>
      <c r="E34" s="255" t="s">
        <v>92</v>
      </c>
      <c r="F34" s="201" t="str">
        <f>IF(ISBLANK(datprizn)," ",VLOOKUP(YEAR(datprizn),R40:AC83,7))</f>
        <v> </v>
      </c>
      <c r="G34" s="255"/>
      <c r="H34" s="255"/>
      <c r="I34" s="255"/>
      <c r="J34" s="255"/>
      <c r="K34" s="255"/>
      <c r="L34" s="256" t="s">
        <v>65</v>
      </c>
      <c r="M34" s="222">
        <v>1</v>
      </c>
      <c r="N34" s="257"/>
      <c r="R34" s="177"/>
      <c r="Y34" s="177"/>
      <c r="Z34" s="177"/>
      <c r="AA34" s="177"/>
      <c r="AB34" s="177"/>
      <c r="AC34" s="177"/>
      <c r="AD34" s="177"/>
      <c r="AE34" s="177"/>
      <c r="AF34" s="178"/>
    </row>
    <row r="35" spans="1:32" s="179" customFormat="1" ht="12" customHeight="1">
      <c r="A35" s="258"/>
      <c r="B35" s="178"/>
      <c r="C35" s="178"/>
      <c r="D35" s="178"/>
      <c r="E35" s="178" t="s">
        <v>93</v>
      </c>
      <c r="F35" s="259" t="str">
        <f>F34</f>
        <v> </v>
      </c>
      <c r="G35" s="178"/>
      <c r="H35" s="178" t="s">
        <v>92</v>
      </c>
      <c r="I35" s="202" t="str">
        <f>IF(ISBLANK(datprizn)," ",VLOOKUP(YEAR(datprizn),R41:AC83,8))</f>
        <v> </v>
      </c>
      <c r="J35" s="279"/>
      <c r="K35" s="178"/>
      <c r="L35" s="178"/>
      <c r="M35" s="221" t="str">
        <f>IF(ISBLANK(datprizn)," ",VLOOKUP(YEAR(datprizn),R40:AC83,10))</f>
        <v> </v>
      </c>
      <c r="N35" s="260"/>
      <c r="R35" s="177"/>
      <c r="S35" s="200"/>
      <c r="T35" s="200"/>
      <c r="U35" s="200"/>
      <c r="V35" s="200"/>
      <c r="W35" s="177"/>
      <c r="X35" s="177"/>
      <c r="Y35" s="177"/>
      <c r="Z35" s="177"/>
      <c r="AA35" s="177"/>
      <c r="AB35" s="177"/>
      <c r="AC35" s="177"/>
      <c r="AD35" s="177"/>
      <c r="AE35" s="177"/>
      <c r="AF35" s="178"/>
    </row>
    <row r="36" spans="1:32" s="179" customFormat="1" ht="12" customHeight="1">
      <c r="A36" s="258"/>
      <c r="B36" s="178"/>
      <c r="C36" s="178"/>
      <c r="D36" s="178"/>
      <c r="E36" s="178" t="s">
        <v>93</v>
      </c>
      <c r="F36" s="259" t="str">
        <f>I35</f>
        <v> </v>
      </c>
      <c r="G36" s="178"/>
      <c r="H36" s="178" t="s">
        <v>92</v>
      </c>
      <c r="I36" s="202" t="str">
        <f>IF(ISBLANK(datprizn)," ",IF(ISBLANK(VLOOKUP(YEAR(datprizn),R42:AC83,9))," ",VLOOKUP(YEAR(datprizn),R42:AC83,9)))</f>
        <v> </v>
      </c>
      <c r="J36" s="279"/>
      <c r="K36" s="178"/>
      <c r="L36" s="178"/>
      <c r="M36" s="221" t="str">
        <f>IF(ISBLANK(datprizn)," ",VLOOKUP(YEAR(datprizn),R40:AC83,11))</f>
        <v> </v>
      </c>
      <c r="N36" s="260"/>
      <c r="R36" s="177"/>
      <c r="S36" s="200"/>
      <c r="T36" s="200"/>
      <c r="U36" s="200"/>
      <c r="V36" s="200"/>
      <c r="W36" s="177"/>
      <c r="X36" s="177"/>
      <c r="Y36" s="177"/>
      <c r="Z36" s="177"/>
      <c r="AA36" s="177"/>
      <c r="AB36" s="177"/>
      <c r="AC36" s="177"/>
      <c r="AD36" s="177"/>
      <c r="AE36" s="177"/>
      <c r="AF36" s="178"/>
    </row>
    <row r="37" spans="1:32" s="179" customFormat="1" ht="12" customHeight="1">
      <c r="A37" s="261"/>
      <c r="B37" s="262"/>
      <c r="C37" s="262"/>
      <c r="D37" s="262"/>
      <c r="E37" s="262" t="s">
        <v>93</v>
      </c>
      <c r="F37" s="263" t="str">
        <f>I36</f>
        <v> </v>
      </c>
      <c r="G37" s="262"/>
      <c r="H37" s="262"/>
      <c r="I37" s="223" t="str">
        <f>IF(ISBLANK(datprizn)," ",VLOOKUP(YEAR(datprizn),R43:AC75,10))</f>
        <v> </v>
      </c>
      <c r="J37" s="223"/>
      <c r="K37" s="262"/>
      <c r="L37" s="262"/>
      <c r="M37" s="224" t="str">
        <f>IF(ISBLANK(datprizn)," ",VLOOKUP(YEAR(datprizn),R40:AC83,12))</f>
        <v> </v>
      </c>
      <c r="N37" s="264"/>
      <c r="R37" s="491" t="s">
        <v>22</v>
      </c>
      <c r="S37" s="473" t="s">
        <v>25</v>
      </c>
      <c r="T37" s="476" t="s">
        <v>31</v>
      </c>
      <c r="U37" s="476" t="s">
        <v>26</v>
      </c>
      <c r="V37" s="476" t="s">
        <v>42</v>
      </c>
      <c r="W37" s="473" t="s">
        <v>30</v>
      </c>
      <c r="X37" s="473" t="s">
        <v>32</v>
      </c>
      <c r="Y37" s="473" t="s">
        <v>33</v>
      </c>
      <c r="Z37" s="473" t="s">
        <v>34</v>
      </c>
      <c r="AA37" s="473" t="s">
        <v>35</v>
      </c>
      <c r="AB37" s="473" t="s">
        <v>36</v>
      </c>
      <c r="AC37" s="473" t="s">
        <v>37</v>
      </c>
      <c r="AD37" s="473" t="s">
        <v>43</v>
      </c>
      <c r="AE37" s="473" t="s">
        <v>77</v>
      </c>
      <c r="AF37" s="473" t="s">
        <v>78</v>
      </c>
    </row>
    <row r="38" spans="18:32" s="179" customFormat="1" ht="10.5" customHeight="1">
      <c r="R38" s="492"/>
      <c r="S38" s="474"/>
      <c r="T38" s="477"/>
      <c r="U38" s="477"/>
      <c r="V38" s="477"/>
      <c r="W38" s="474"/>
      <c r="X38" s="474"/>
      <c r="Y38" s="474"/>
      <c r="Z38" s="474"/>
      <c r="AA38" s="474"/>
      <c r="AB38" s="474"/>
      <c r="AC38" s="474"/>
      <c r="AD38" s="474"/>
      <c r="AE38" s="474"/>
      <c r="AF38" s="474"/>
    </row>
    <row r="39" spans="1:32" s="179" customFormat="1" ht="10.5" customHeight="1">
      <c r="A39" s="179" t="s">
        <v>67</v>
      </c>
      <c r="R39" s="493"/>
      <c r="S39" s="475"/>
      <c r="T39" s="478"/>
      <c r="U39" s="478"/>
      <c r="V39" s="478"/>
      <c r="W39" s="475"/>
      <c r="X39" s="475"/>
      <c r="Y39" s="475"/>
      <c r="Z39" s="475"/>
      <c r="AA39" s="475"/>
      <c r="AB39" s="475"/>
      <c r="AC39" s="475"/>
      <c r="AD39" s="475"/>
      <c r="AE39" s="475"/>
      <c r="AF39" s="475"/>
    </row>
    <row r="40" spans="18:32" s="179" customFormat="1" ht="10.5" customHeight="1" thickBot="1">
      <c r="R40" s="203">
        <v>1986</v>
      </c>
      <c r="S40" s="204">
        <f aca="true" t="shared" si="0" ref="S40:S73">IF(R40&gt;=(YEAR(datprizn)-1),1,ROUND($T$20/U40,4))</f>
        <v>1</v>
      </c>
      <c r="T40" s="205">
        <f>IF(ISBLANK('Důchodová a věková kalkulačka'!B58),0,CEILING(MIN('Důchodová a věková kalkulačka'!B58,AD40)*S40,1))</f>
        <v>0</v>
      </c>
      <c r="U40" s="205">
        <v>2964</v>
      </c>
      <c r="V40" s="205">
        <v>1</v>
      </c>
      <c r="W40" s="206"/>
      <c r="X40" s="206"/>
      <c r="Y40" s="206"/>
      <c r="Z40" s="206"/>
      <c r="AA40" s="206"/>
      <c r="AB40" s="206"/>
      <c r="AC40" s="206"/>
      <c r="AD40" s="206"/>
      <c r="AE40" s="207"/>
      <c r="AF40" s="207"/>
    </row>
    <row r="41" spans="1:32" s="179" customFormat="1" ht="12" customHeight="1">
      <c r="A41" s="485" t="s">
        <v>22</v>
      </c>
      <c r="B41" s="487" t="s">
        <v>23</v>
      </c>
      <c r="C41" s="488"/>
      <c r="D41" s="487" t="s">
        <v>100</v>
      </c>
      <c r="E41" s="488"/>
      <c r="F41" s="514" t="s">
        <v>97</v>
      </c>
      <c r="G41" s="515"/>
      <c r="H41" s="504" t="s">
        <v>22</v>
      </c>
      <c r="I41" s="487" t="s">
        <v>23</v>
      </c>
      <c r="J41" s="488"/>
      <c r="K41" s="526" t="s">
        <v>98</v>
      </c>
      <c r="L41" s="488"/>
      <c r="M41" s="526" t="s">
        <v>99</v>
      </c>
      <c r="N41" s="488"/>
      <c r="O41" s="198"/>
      <c r="R41" s="203">
        <v>1987</v>
      </c>
      <c r="S41" s="204">
        <f t="shared" si="0"/>
        <v>1</v>
      </c>
      <c r="T41" s="205">
        <f>IF(ISBLANK('Důchodová a věková kalkulačka'!B59),0,CEILING(MIN('Důchodová a věková kalkulačka'!B59,AD41)*S41,1))</f>
        <v>0</v>
      </c>
      <c r="U41" s="205">
        <v>3026</v>
      </c>
      <c r="V41" s="205">
        <v>1</v>
      </c>
      <c r="W41" s="206"/>
      <c r="X41" s="206"/>
      <c r="Y41" s="206"/>
      <c r="Z41" s="206"/>
      <c r="AA41" s="206"/>
      <c r="AB41" s="206"/>
      <c r="AC41" s="206"/>
      <c r="AD41" s="206"/>
      <c r="AE41" s="207"/>
      <c r="AF41" s="207"/>
    </row>
    <row r="42" spans="1:32" s="179" customFormat="1" ht="12" customHeight="1" thickBot="1">
      <c r="A42" s="486"/>
      <c r="B42" s="489"/>
      <c r="C42" s="490"/>
      <c r="D42" s="489"/>
      <c r="E42" s="490"/>
      <c r="F42" s="516"/>
      <c r="G42" s="517"/>
      <c r="H42" s="505"/>
      <c r="I42" s="489"/>
      <c r="J42" s="490"/>
      <c r="K42" s="527"/>
      <c r="L42" s="490"/>
      <c r="M42" s="527"/>
      <c r="N42" s="490"/>
      <c r="O42" s="198"/>
      <c r="R42" s="203">
        <v>1988</v>
      </c>
      <c r="S42" s="204">
        <f t="shared" si="0"/>
        <v>1</v>
      </c>
      <c r="T42" s="205">
        <f>IF(ISBLANK('Důchodová a věková kalkulačka'!B60),0,CEILING(MIN('Důchodová a věková kalkulačka'!B60,AD42)*S42,1))</f>
        <v>0</v>
      </c>
      <c r="U42" s="205">
        <v>3095</v>
      </c>
      <c r="V42" s="205">
        <v>1</v>
      </c>
      <c r="W42" s="206"/>
      <c r="X42" s="206"/>
      <c r="Y42" s="206"/>
      <c r="Z42" s="206"/>
      <c r="AA42" s="206"/>
      <c r="AB42" s="206"/>
      <c r="AC42" s="206"/>
      <c r="AD42" s="206"/>
      <c r="AE42" s="207"/>
      <c r="AF42" s="207"/>
    </row>
    <row r="43" spans="1:32" s="179" customFormat="1" ht="12" customHeight="1">
      <c r="A43" s="169">
        <v>1986</v>
      </c>
      <c r="B43" s="512" t="str">
        <f>IF(ISNUMBER(rok1986),rok1986," ")</f>
        <v> </v>
      </c>
      <c r="C43" s="513"/>
      <c r="D43" s="519">
        <f>'Základní varianta - podrobnosti'!S40</f>
        <v>1</v>
      </c>
      <c r="E43" s="511"/>
      <c r="F43" s="512">
        <f>'Základní varianta - podrobnosti'!T40</f>
        <v>0</v>
      </c>
      <c r="G43" s="518"/>
      <c r="H43" s="169">
        <v>2006</v>
      </c>
      <c r="I43" s="462" t="str">
        <f>IF(ISNUMBER(rok2006),rok2006," ")</f>
        <v> </v>
      </c>
      <c r="J43" s="463"/>
      <c r="K43" s="510">
        <f>'Základní varianta - podrobnosti'!S60</f>
        <v>1</v>
      </c>
      <c r="L43" s="511"/>
      <c r="M43" s="518">
        <f>'Základní varianta - podrobnosti'!T60</f>
        <v>0</v>
      </c>
      <c r="N43" s="513"/>
      <c r="O43" s="280"/>
      <c r="R43" s="203">
        <v>1989</v>
      </c>
      <c r="S43" s="204">
        <f t="shared" si="0"/>
        <v>1</v>
      </c>
      <c r="T43" s="205">
        <f>IF(ISBLANK('Důchodová a věková kalkulačka'!B61),0,CEILING(MIN('Důchodová a věková kalkulačka'!B61,AD43)*S43,1))</f>
        <v>0</v>
      </c>
      <c r="U43" s="203">
        <v>3170</v>
      </c>
      <c r="V43" s="203">
        <v>1</v>
      </c>
      <c r="W43" s="206"/>
      <c r="X43" s="206"/>
      <c r="Y43" s="206"/>
      <c r="Z43" s="206"/>
      <c r="AA43" s="206"/>
      <c r="AB43" s="206"/>
      <c r="AC43" s="206"/>
      <c r="AD43" s="206"/>
      <c r="AE43" s="207"/>
      <c r="AF43" s="207"/>
    </row>
    <row r="44" spans="1:32" s="179" customFormat="1" ht="12" customHeight="1">
      <c r="A44" s="170">
        <v>1987</v>
      </c>
      <c r="B44" s="498" t="str">
        <f>IF(ISNUMBER(rok1987),rok1987," ")</f>
        <v> </v>
      </c>
      <c r="C44" s="495"/>
      <c r="D44" s="508">
        <f>'Základní varianta - podrobnosti'!S41</f>
        <v>1</v>
      </c>
      <c r="E44" s="509"/>
      <c r="F44" s="498">
        <f>'Základní varianta - podrobnosti'!T41</f>
        <v>0</v>
      </c>
      <c r="G44" s="494"/>
      <c r="H44" s="170">
        <v>2007</v>
      </c>
      <c r="I44" s="454" t="str">
        <f>IF(ISNUMBER(rok2007),rok2007," ")</f>
        <v> </v>
      </c>
      <c r="J44" s="455"/>
      <c r="K44" s="522">
        <f>'Základní varianta - podrobnosti'!S61</f>
        <v>1</v>
      </c>
      <c r="L44" s="509"/>
      <c r="M44" s="494">
        <f>'Základní varianta - podrobnosti'!T61</f>
        <v>0</v>
      </c>
      <c r="N44" s="495"/>
      <c r="O44" s="280"/>
      <c r="R44" s="203">
        <v>1990</v>
      </c>
      <c r="S44" s="204">
        <f t="shared" si="0"/>
        <v>1</v>
      </c>
      <c r="T44" s="205">
        <f>IF(ISBLANK('Důchodová a věková kalkulačka'!B62),0,CEILING(MIN('Důchodová a věková kalkulačka'!B62,AD44)*S44,1))</f>
        <v>0</v>
      </c>
      <c r="U44" s="203">
        <v>3286</v>
      </c>
      <c r="V44" s="203">
        <v>1</v>
      </c>
      <c r="W44" s="206"/>
      <c r="X44" s="206"/>
      <c r="Y44" s="206"/>
      <c r="Z44" s="206"/>
      <c r="AA44" s="206"/>
      <c r="AB44" s="206"/>
      <c r="AC44" s="206"/>
      <c r="AD44" s="206"/>
      <c r="AE44" s="207"/>
      <c r="AF44" s="207"/>
    </row>
    <row r="45" spans="1:32" s="179" customFormat="1" ht="12" customHeight="1">
      <c r="A45" s="170">
        <v>1988</v>
      </c>
      <c r="B45" s="498" t="str">
        <f>IF(ISNUMBER(rok1988),rok1988," ")</f>
        <v> </v>
      </c>
      <c r="C45" s="495"/>
      <c r="D45" s="508">
        <f>'Základní varianta - podrobnosti'!S42</f>
        <v>1</v>
      </c>
      <c r="E45" s="509"/>
      <c r="F45" s="498">
        <f>'Základní varianta - podrobnosti'!T42</f>
        <v>0</v>
      </c>
      <c r="G45" s="494"/>
      <c r="H45" s="172">
        <v>2008</v>
      </c>
      <c r="I45" s="454" t="str">
        <f>IF(ISNUMBER(rok2008),IF(rok2008&gt;AD62,AD62,rok2008)," ")</f>
        <v> </v>
      </c>
      <c r="J45" s="455"/>
      <c r="K45" s="506">
        <f>'Základní varianta - podrobnosti'!S62</f>
        <v>1</v>
      </c>
      <c r="L45" s="507"/>
      <c r="M45" s="494">
        <f>'Základní varianta - podrobnosti'!T62</f>
        <v>0</v>
      </c>
      <c r="N45" s="495"/>
      <c r="O45" s="280"/>
      <c r="R45" s="203">
        <v>1991</v>
      </c>
      <c r="S45" s="204">
        <f t="shared" si="0"/>
        <v>1</v>
      </c>
      <c r="T45" s="205">
        <f>IF(ISBLANK('Důchodová a věková kalkulačka'!B63),0,CEILING(MIN('Důchodová a věková kalkulačka'!B63,AD45)*S45,1))</f>
        <v>0</v>
      </c>
      <c r="U45" s="203">
        <v>3792</v>
      </c>
      <c r="V45" s="203">
        <v>1</v>
      </c>
      <c r="W45" s="206"/>
      <c r="X45" s="206"/>
      <c r="Y45" s="206"/>
      <c r="Z45" s="206"/>
      <c r="AA45" s="206"/>
      <c r="AB45" s="206"/>
      <c r="AC45" s="206"/>
      <c r="AD45" s="206"/>
      <c r="AE45" s="207"/>
      <c r="AF45" s="207"/>
    </row>
    <row r="46" spans="1:32" s="179" customFormat="1" ht="12" customHeight="1">
      <c r="A46" s="170">
        <v>1989</v>
      </c>
      <c r="B46" s="498" t="str">
        <f>IF(ISNUMBER(rok1989),rok1989," ")</f>
        <v> </v>
      </c>
      <c r="C46" s="495"/>
      <c r="D46" s="508">
        <f>'Základní varianta - podrobnosti'!S43</f>
        <v>1</v>
      </c>
      <c r="E46" s="509"/>
      <c r="F46" s="498">
        <f>'Základní varianta - podrobnosti'!T43</f>
        <v>0</v>
      </c>
      <c r="G46" s="494"/>
      <c r="H46" s="172">
        <v>2009</v>
      </c>
      <c r="I46" s="454" t="str">
        <f>IF(ISNUMBER(rok2009),IF(rok2009&gt;AD63,AD63,rok2009)," ")</f>
        <v> </v>
      </c>
      <c r="J46" s="455"/>
      <c r="K46" s="506">
        <f>'Základní varianta - podrobnosti'!S63</f>
        <v>1</v>
      </c>
      <c r="L46" s="507"/>
      <c r="M46" s="494">
        <f>'Základní varianta - podrobnosti'!T63</f>
        <v>0</v>
      </c>
      <c r="N46" s="495"/>
      <c r="O46" s="280"/>
      <c r="R46" s="203">
        <v>1992</v>
      </c>
      <c r="S46" s="204">
        <f t="shared" si="0"/>
        <v>1</v>
      </c>
      <c r="T46" s="205">
        <f>IF(ISBLANK('Důchodová a věková kalkulačka'!B64),0,CEILING(MIN('Důchodová a věková kalkulačka'!B64,AD46)*S46,1))</f>
        <v>0</v>
      </c>
      <c r="U46" s="203">
        <v>4644</v>
      </c>
      <c r="V46" s="203">
        <v>1</v>
      </c>
      <c r="W46" s="206"/>
      <c r="X46" s="206"/>
      <c r="Y46" s="206"/>
      <c r="Z46" s="206"/>
      <c r="AA46" s="206"/>
      <c r="AB46" s="206"/>
      <c r="AC46" s="206"/>
      <c r="AD46" s="206"/>
      <c r="AE46" s="207"/>
      <c r="AF46" s="207"/>
    </row>
    <row r="47" spans="1:32" s="179" customFormat="1" ht="12" customHeight="1" thickBot="1">
      <c r="A47" s="171">
        <v>1990</v>
      </c>
      <c r="B47" s="499" t="str">
        <f>IF(ISNUMBER(rok1990),rok1990," ")</f>
        <v> </v>
      </c>
      <c r="C47" s="497"/>
      <c r="D47" s="500">
        <f>'Základní varianta - podrobnosti'!S44</f>
        <v>1</v>
      </c>
      <c r="E47" s="501"/>
      <c r="F47" s="499">
        <f>'Základní varianta - podrobnosti'!T44</f>
        <v>0</v>
      </c>
      <c r="G47" s="496"/>
      <c r="H47" s="282">
        <v>2010</v>
      </c>
      <c r="I47" s="449" t="str">
        <f>IF(ISNUMBER(rok2010),IF(rok2010&gt;AD64,AD64,rok2010)," ")</f>
        <v> </v>
      </c>
      <c r="J47" s="450"/>
      <c r="K47" s="502">
        <f>'Základní varianta - podrobnosti'!S64</f>
        <v>1</v>
      </c>
      <c r="L47" s="503"/>
      <c r="M47" s="496">
        <f>'Základní varianta - podrobnosti'!T64</f>
        <v>0</v>
      </c>
      <c r="N47" s="497"/>
      <c r="O47" s="208"/>
      <c r="P47" s="208"/>
      <c r="R47" s="203">
        <v>1993</v>
      </c>
      <c r="S47" s="204">
        <f t="shared" si="0"/>
        <v>1</v>
      </c>
      <c r="T47" s="205">
        <f>IF(ISBLANK('Důchodová a věková kalkulačka'!B65),0,CEILING(MIN('Důchodová a věková kalkulačka'!B65,AD47)*S47,1))</f>
        <v>0</v>
      </c>
      <c r="U47" s="203">
        <v>5817</v>
      </c>
      <c r="V47" s="203">
        <v>1</v>
      </c>
      <c r="W47" s="206"/>
      <c r="X47" s="206"/>
      <c r="Y47" s="206"/>
      <c r="Z47" s="206"/>
      <c r="AA47" s="206"/>
      <c r="AB47" s="206"/>
      <c r="AC47" s="206"/>
      <c r="AD47" s="206"/>
      <c r="AE47" s="207"/>
      <c r="AF47" s="207"/>
    </row>
    <row r="48" spans="1:32" s="179" customFormat="1" ht="12" customHeight="1">
      <c r="A48" s="169">
        <v>1991</v>
      </c>
      <c r="B48" s="512" t="str">
        <f>IF(ISNUMBER(rok1991),rok1991," ")</f>
        <v> </v>
      </c>
      <c r="C48" s="513"/>
      <c r="D48" s="519">
        <f>'Základní varianta - podrobnosti'!S45</f>
        <v>1</v>
      </c>
      <c r="E48" s="511"/>
      <c r="F48" s="512">
        <f>'Základní varianta - podrobnosti'!T45</f>
        <v>0</v>
      </c>
      <c r="G48" s="513"/>
      <c r="H48" s="172">
        <v>2011</v>
      </c>
      <c r="I48" s="462" t="str">
        <f>IF(ISNUMBER(rok2011),IF(rok2011&gt;AD65,AD65,rok2011)," ")</f>
        <v> </v>
      </c>
      <c r="J48" s="463"/>
      <c r="K48" s="520">
        <f>'Základní varianta - podrobnosti'!S65</f>
        <v>1</v>
      </c>
      <c r="L48" s="521"/>
      <c r="M48" s="518">
        <f>'Základní varianta - podrobnosti'!T65</f>
        <v>0</v>
      </c>
      <c r="N48" s="513"/>
      <c r="O48" s="208"/>
      <c r="P48" s="208"/>
      <c r="R48" s="203">
        <v>1994</v>
      </c>
      <c r="S48" s="204">
        <f t="shared" si="0"/>
        <v>1</v>
      </c>
      <c r="T48" s="205">
        <f>IF(ISBLANK('Důchodová a věková kalkulačka'!B66),0,CEILING(MIN('Důchodová a věková kalkulačka'!B66,AD48)*S48,1))</f>
        <v>0</v>
      </c>
      <c r="U48" s="203">
        <v>6896</v>
      </c>
      <c r="V48" s="209">
        <v>1.1914</v>
      </c>
      <c r="W48" s="206"/>
      <c r="X48" s="206"/>
      <c r="Y48" s="206"/>
      <c r="Z48" s="206"/>
      <c r="AA48" s="206"/>
      <c r="AB48" s="206"/>
      <c r="AC48" s="206"/>
      <c r="AD48" s="206"/>
      <c r="AE48" s="207"/>
      <c r="AF48" s="207"/>
    </row>
    <row r="49" spans="1:32" s="179" customFormat="1" ht="12" customHeight="1">
      <c r="A49" s="170">
        <v>1992</v>
      </c>
      <c r="B49" s="498" t="str">
        <f>IF(ISNUMBER(rok1992),rok1992," ")</f>
        <v> </v>
      </c>
      <c r="C49" s="495"/>
      <c r="D49" s="508">
        <f>'Základní varianta - podrobnosti'!S46</f>
        <v>1</v>
      </c>
      <c r="E49" s="509"/>
      <c r="F49" s="498">
        <f>'Základní varianta - podrobnosti'!T46</f>
        <v>0</v>
      </c>
      <c r="G49" s="495"/>
      <c r="H49" s="172">
        <v>2012</v>
      </c>
      <c r="I49" s="454" t="str">
        <f>IF(ISNUMBER(rok2012),IF(rok2012&gt;AD66,AD66,rok2012)," ")</f>
        <v> </v>
      </c>
      <c r="J49" s="455"/>
      <c r="K49" s="506">
        <f>'Základní varianta - podrobnosti'!S66</f>
        <v>1</v>
      </c>
      <c r="L49" s="507"/>
      <c r="M49" s="494">
        <f>'Základní varianta - podrobnosti'!T66</f>
        <v>0</v>
      </c>
      <c r="N49" s="495"/>
      <c r="O49" s="208"/>
      <c r="P49" s="208"/>
      <c r="R49" s="203">
        <v>1995</v>
      </c>
      <c r="S49" s="204">
        <f t="shared" si="0"/>
        <v>1</v>
      </c>
      <c r="T49" s="205">
        <f>IF(ISBLANK('Důchodová a věková kalkulačka'!B67),0,CEILING(MIN('Důchodová a věková kalkulačka'!B67,AD49)*S49,1))</f>
        <v>0</v>
      </c>
      <c r="U49" s="203">
        <v>8172</v>
      </c>
      <c r="V49" s="209">
        <v>1.1978</v>
      </c>
      <c r="W49" s="206"/>
      <c r="X49" s="206"/>
      <c r="Y49" s="206"/>
      <c r="Z49" s="206"/>
      <c r="AA49" s="206"/>
      <c r="AB49" s="206"/>
      <c r="AC49" s="206"/>
      <c r="AD49" s="206"/>
      <c r="AE49" s="207"/>
      <c r="AF49" s="207"/>
    </row>
    <row r="50" spans="1:32" s="179" customFormat="1" ht="12" customHeight="1">
      <c r="A50" s="170">
        <v>1993</v>
      </c>
      <c r="B50" s="498" t="str">
        <f>IF(ISNUMBER(rok1993),rok1993," ")</f>
        <v> </v>
      </c>
      <c r="C50" s="495"/>
      <c r="D50" s="508">
        <f>'Základní varianta - podrobnosti'!S47</f>
        <v>1</v>
      </c>
      <c r="E50" s="509"/>
      <c r="F50" s="498">
        <f>'Základní varianta - podrobnosti'!T47</f>
        <v>0</v>
      </c>
      <c r="G50" s="495"/>
      <c r="H50" s="170">
        <v>2013</v>
      </c>
      <c r="I50" s="454" t="str">
        <f>IF(ISNUMBER(rok2013),IF(rok2013&gt;AD67,AD67,rok2013)," ")</f>
        <v> </v>
      </c>
      <c r="J50" s="455"/>
      <c r="K50" s="522">
        <f>'Základní varianta - podrobnosti'!S67</f>
        <v>1</v>
      </c>
      <c r="L50" s="509"/>
      <c r="M50" s="494">
        <f>'Základní varianta - podrobnosti'!T67</f>
        <v>0</v>
      </c>
      <c r="N50" s="495"/>
      <c r="O50" s="210"/>
      <c r="P50" s="265"/>
      <c r="R50" s="203">
        <v>1996</v>
      </c>
      <c r="S50" s="204">
        <f t="shared" si="0"/>
        <v>1</v>
      </c>
      <c r="T50" s="205">
        <f>IF(ISBLANK('Důchodová a věková kalkulačka'!B68),0,CEILING(MIN('Důchodová a věková kalkulačka'!B68,AD50)*S50,1))</f>
        <v>0</v>
      </c>
      <c r="U50" s="203">
        <v>9676</v>
      </c>
      <c r="V50" s="209">
        <v>1.1194</v>
      </c>
      <c r="W50" s="211">
        <v>680</v>
      </c>
      <c r="X50" s="206">
        <v>5000</v>
      </c>
      <c r="Y50" s="206">
        <v>10000</v>
      </c>
      <c r="Z50" s="206"/>
      <c r="AA50" s="206">
        <v>0.3</v>
      </c>
      <c r="AB50" s="206">
        <v>0.1</v>
      </c>
      <c r="AC50" s="206"/>
      <c r="AD50" s="206"/>
      <c r="AE50" s="207"/>
      <c r="AF50" s="207"/>
    </row>
    <row r="51" spans="1:32" s="179" customFormat="1" ht="12" customHeight="1">
      <c r="A51" s="170">
        <v>1994</v>
      </c>
      <c r="B51" s="498" t="str">
        <f>IF(ISNUMBER(rok1994),rok1994," ")</f>
        <v> </v>
      </c>
      <c r="C51" s="495"/>
      <c r="D51" s="508">
        <f>'Základní varianta - podrobnosti'!S48</f>
        <v>1</v>
      </c>
      <c r="E51" s="509"/>
      <c r="F51" s="498">
        <f>'Základní varianta - podrobnosti'!T48</f>
        <v>0</v>
      </c>
      <c r="G51" s="495"/>
      <c r="H51" s="170">
        <v>2014</v>
      </c>
      <c r="I51" s="454" t="str">
        <f>IF(ISNUMBER(rok2014),IF(rok2014&gt;AD68,AD68,rok2014)," ")</f>
        <v> </v>
      </c>
      <c r="J51" s="455"/>
      <c r="K51" s="522">
        <f>'Základní varianta - podrobnosti'!S68</f>
        <v>1</v>
      </c>
      <c r="L51" s="509"/>
      <c r="M51" s="528">
        <f>'Základní varianta - podrobnosti'!T68</f>
        <v>0</v>
      </c>
      <c r="N51" s="529"/>
      <c r="O51" s="198"/>
      <c r="P51" s="265"/>
      <c r="R51" s="203">
        <v>1997</v>
      </c>
      <c r="S51" s="204">
        <f t="shared" si="0"/>
        <v>1</v>
      </c>
      <c r="T51" s="205">
        <f>IF(ISBLANK('Důchodová a věková kalkulačka'!B69),0,CEILING(MIN('Důchodová a věková kalkulačka'!B69,AD51)*S51,1))</f>
        <v>0</v>
      </c>
      <c r="U51" s="203">
        <v>10696</v>
      </c>
      <c r="V51" s="209">
        <v>1.0891</v>
      </c>
      <c r="W51" s="211">
        <v>1060</v>
      </c>
      <c r="X51" s="206">
        <v>5600</v>
      </c>
      <c r="Y51" s="206">
        <v>11200</v>
      </c>
      <c r="Z51" s="206"/>
      <c r="AA51" s="206">
        <v>0.3</v>
      </c>
      <c r="AB51" s="206">
        <v>0.1</v>
      </c>
      <c r="AC51" s="206"/>
      <c r="AD51" s="206"/>
      <c r="AE51" s="207"/>
      <c r="AF51" s="207"/>
    </row>
    <row r="52" spans="1:32" s="179" customFormat="1" ht="12" customHeight="1" thickBot="1">
      <c r="A52" s="171">
        <v>1995</v>
      </c>
      <c r="B52" s="499" t="str">
        <f>IF(ISNUMBER(rok1995),rok1995," ")</f>
        <v> </v>
      </c>
      <c r="C52" s="497"/>
      <c r="D52" s="500">
        <f>'Základní varianta - podrobnosti'!S49</f>
        <v>1</v>
      </c>
      <c r="E52" s="501"/>
      <c r="F52" s="499">
        <f>'Základní varianta - podrobnosti'!T49</f>
        <v>0</v>
      </c>
      <c r="G52" s="497"/>
      <c r="H52" s="283">
        <v>2015</v>
      </c>
      <c r="I52" s="449" t="str">
        <f>IF(ISNUMBER(rok2015),IF(rok2015&gt;AD69,AD69,rok2015)," ")</f>
        <v> </v>
      </c>
      <c r="J52" s="450"/>
      <c r="K52" s="522">
        <f>'Základní varianta - podrobnosti'!S69</f>
        <v>1</v>
      </c>
      <c r="L52" s="509"/>
      <c r="M52" s="528">
        <f>'Základní varianta - podrobnosti'!T69</f>
        <v>0</v>
      </c>
      <c r="N52" s="529"/>
      <c r="O52" s="198"/>
      <c r="P52" s="265"/>
      <c r="R52" s="203">
        <v>1998</v>
      </c>
      <c r="S52" s="204">
        <f t="shared" si="0"/>
        <v>1</v>
      </c>
      <c r="T52" s="205">
        <f>IF(ISBLANK('Důchodová a věková kalkulačka'!B70),0,CEILING(MIN('Důchodová a věková kalkulačka'!B70,AD52)*S52,1))</f>
        <v>0</v>
      </c>
      <c r="U52" s="203">
        <v>11693</v>
      </c>
      <c r="V52" s="209">
        <v>1.085</v>
      </c>
      <c r="W52" s="211">
        <v>1260</v>
      </c>
      <c r="X52" s="206">
        <v>5900</v>
      </c>
      <c r="Y52" s="206">
        <v>11800</v>
      </c>
      <c r="Z52" s="206"/>
      <c r="AA52" s="206">
        <v>0.3</v>
      </c>
      <c r="AB52" s="206">
        <v>0.1</v>
      </c>
      <c r="AC52" s="206"/>
      <c r="AD52" s="206"/>
      <c r="AE52" s="207"/>
      <c r="AF52" s="207"/>
    </row>
    <row r="53" spans="1:32" s="179" customFormat="1" ht="12" customHeight="1">
      <c r="A53" s="169">
        <v>1996</v>
      </c>
      <c r="B53" s="512" t="str">
        <f>IF(ISNUMBER(rok1996),rok1996," ")</f>
        <v> </v>
      </c>
      <c r="C53" s="513"/>
      <c r="D53" s="519">
        <f>'Základní varianta - podrobnosti'!S50</f>
        <v>1</v>
      </c>
      <c r="E53" s="511"/>
      <c r="F53" s="512">
        <f>'Základní varianta - podrobnosti'!T50</f>
        <v>0</v>
      </c>
      <c r="G53" s="513"/>
      <c r="H53" s="173">
        <v>2016</v>
      </c>
      <c r="I53" s="454" t="str">
        <f>IF(ISNUMBER(rok2016),IF(rok2016&gt;AD70,AD70,rok2016)," ")</f>
        <v> </v>
      </c>
      <c r="J53" s="455"/>
      <c r="K53" s="464">
        <f>'Základní varianta - podrobnosti'!S70</f>
        <v>1</v>
      </c>
      <c r="L53" s="524"/>
      <c r="M53" s="465">
        <f>'Základní varianta - podrobnosti'!T70</f>
        <v>0</v>
      </c>
      <c r="N53" s="466"/>
      <c r="O53" s="198"/>
      <c r="P53" s="265"/>
      <c r="R53" s="203">
        <v>1999</v>
      </c>
      <c r="S53" s="204">
        <f t="shared" si="0"/>
        <v>1</v>
      </c>
      <c r="T53" s="205">
        <f>IF(ISBLANK('Důchodová a věková kalkulačka'!B71),0,CEILING(MIN('Důchodová a věková kalkulačka'!B71,AD53)*S53,1))</f>
        <v>0</v>
      </c>
      <c r="U53" s="203">
        <v>12655</v>
      </c>
      <c r="V53" s="209">
        <v>1.062</v>
      </c>
      <c r="W53" s="211">
        <v>1310</v>
      </c>
      <c r="X53" s="206">
        <v>6100</v>
      </c>
      <c r="Y53" s="206">
        <v>13000</v>
      </c>
      <c r="Z53" s="206"/>
      <c r="AA53" s="206">
        <v>0.3</v>
      </c>
      <c r="AB53" s="206">
        <v>0.1</v>
      </c>
      <c r="AC53" s="206"/>
      <c r="AD53" s="206"/>
      <c r="AE53" s="207"/>
      <c r="AF53" s="207"/>
    </row>
    <row r="54" spans="1:32" s="179" customFormat="1" ht="12" customHeight="1">
      <c r="A54" s="170">
        <v>1997</v>
      </c>
      <c r="B54" s="498" t="str">
        <f>IF(ISNUMBER(rok1997),rok1997," ")</f>
        <v> </v>
      </c>
      <c r="C54" s="495"/>
      <c r="D54" s="508">
        <f>'Základní varianta - podrobnosti'!S51</f>
        <v>1</v>
      </c>
      <c r="E54" s="509"/>
      <c r="F54" s="498">
        <f>'Základní varianta - podrobnosti'!T51</f>
        <v>0</v>
      </c>
      <c r="G54" s="495"/>
      <c r="H54" s="172">
        <v>2017</v>
      </c>
      <c r="I54" s="454" t="str">
        <f>IF(ISNUMBER(rok2017),IF(rok2017&gt;AD71,AD71,rok2017)," ")</f>
        <v> </v>
      </c>
      <c r="J54" s="455"/>
      <c r="K54" s="525">
        <f>'Základní varianta - podrobnosti'!S71</f>
        <v>1</v>
      </c>
      <c r="L54" s="523"/>
      <c r="M54" s="457">
        <f>'Základní varianta - podrobnosti'!T71</f>
        <v>0</v>
      </c>
      <c r="N54" s="458"/>
      <c r="O54" s="198"/>
      <c r="R54" s="203">
        <v>2000</v>
      </c>
      <c r="S54" s="204">
        <f t="shared" si="0"/>
        <v>1</v>
      </c>
      <c r="T54" s="205">
        <f>IF(ISBLANK('Důchodová a věková kalkulačka'!B72),0,CEILING(MIN('Důchodová a věková kalkulačka'!B72,AD54)*S54,1))</f>
        <v>0</v>
      </c>
      <c r="U54" s="203">
        <v>13490</v>
      </c>
      <c r="V54" s="209">
        <v>1.0942</v>
      </c>
      <c r="W54" s="211">
        <v>1310</v>
      </c>
      <c r="X54" s="206">
        <v>6300</v>
      </c>
      <c r="Y54" s="206">
        <v>14200</v>
      </c>
      <c r="Z54" s="206"/>
      <c r="AA54" s="206">
        <v>0.3</v>
      </c>
      <c r="AB54" s="206">
        <v>0.1</v>
      </c>
      <c r="AC54" s="206"/>
      <c r="AD54" s="206"/>
      <c r="AE54" s="207"/>
      <c r="AF54" s="207"/>
    </row>
    <row r="55" spans="1:32" s="179" customFormat="1" ht="12" customHeight="1">
      <c r="A55" s="170">
        <v>1998</v>
      </c>
      <c r="B55" s="498" t="str">
        <f>IF(ISNUMBER(rok1998),rok1998," ")</f>
        <v> </v>
      </c>
      <c r="C55" s="495"/>
      <c r="D55" s="508">
        <f>'Základní varianta - podrobnosti'!S52</f>
        <v>1</v>
      </c>
      <c r="E55" s="509"/>
      <c r="F55" s="498">
        <f>'Základní varianta - podrobnosti'!T52</f>
        <v>0</v>
      </c>
      <c r="G55" s="495"/>
      <c r="H55" s="170">
        <v>2018</v>
      </c>
      <c r="I55" s="454" t="str">
        <f>IF(ISNUMBER(rok2018),IF(rok2018&gt;AD72,AD72,rok2018)," ")</f>
        <v> </v>
      </c>
      <c r="J55" s="455"/>
      <c r="K55" s="456">
        <f>'Základní varianta - podrobnosti'!S72</f>
        <v>1</v>
      </c>
      <c r="L55" s="523"/>
      <c r="M55" s="457">
        <f>'Základní varianta - podrobnosti'!T72</f>
        <v>0</v>
      </c>
      <c r="N55" s="458"/>
      <c r="R55" s="203">
        <v>2001</v>
      </c>
      <c r="S55" s="204">
        <f t="shared" si="0"/>
        <v>1</v>
      </c>
      <c r="T55" s="205">
        <f>IF(ISBLANK('Důchodová a věková kalkulačka'!B73),0,CEILING(MIN('Důchodová a věková kalkulačka'!B73,AD55)*S55,1))</f>
        <v>0</v>
      </c>
      <c r="U55" s="203">
        <v>14640</v>
      </c>
      <c r="V55" s="209">
        <v>1.0693</v>
      </c>
      <c r="W55" s="211">
        <v>1310</v>
      </c>
      <c r="X55" s="206">
        <v>6600</v>
      </c>
      <c r="Y55" s="206">
        <v>15300</v>
      </c>
      <c r="Z55" s="206"/>
      <c r="AA55" s="206">
        <v>0.3</v>
      </c>
      <c r="AB55" s="206">
        <v>0.1</v>
      </c>
      <c r="AC55" s="206"/>
      <c r="AD55" s="206"/>
      <c r="AE55" s="207"/>
      <c r="AF55" s="207"/>
    </row>
    <row r="56" spans="1:32" s="179" customFormat="1" ht="12" customHeight="1">
      <c r="A56" s="170">
        <v>1999</v>
      </c>
      <c r="B56" s="498" t="str">
        <f>IF(ISNUMBER(rok1999),rok1999," ")</f>
        <v> </v>
      </c>
      <c r="C56" s="495"/>
      <c r="D56" s="508">
        <f>'Základní varianta - podrobnosti'!S53</f>
        <v>1</v>
      </c>
      <c r="E56" s="509"/>
      <c r="F56" s="498">
        <f>'Základní varianta - podrobnosti'!T53</f>
        <v>0</v>
      </c>
      <c r="G56" s="495"/>
      <c r="H56" s="170">
        <v>2019</v>
      </c>
      <c r="I56" s="454" t="str">
        <f>IF(ISNUMBER(rok2019),IF(rok2019&gt;AD73,AD73,rok2019)," ")</f>
        <v> </v>
      </c>
      <c r="J56" s="455"/>
      <c r="K56" s="456">
        <f>'Základní varianta - podrobnosti'!S73</f>
        <v>1</v>
      </c>
      <c r="L56" s="523"/>
      <c r="M56" s="457">
        <f>'Základní varianta - podrobnosti'!T73</f>
        <v>0</v>
      </c>
      <c r="N56" s="458"/>
      <c r="R56" s="203">
        <v>2002</v>
      </c>
      <c r="S56" s="204">
        <f t="shared" si="0"/>
        <v>1</v>
      </c>
      <c r="T56" s="205">
        <f>IF(ISBLANK('Důchodová a věková kalkulačka'!B74),0,CEILING(MIN('Důchodová a věková kalkulačka'!B74,AD56)*S56,1))</f>
        <v>0</v>
      </c>
      <c r="U56" s="203">
        <v>15711</v>
      </c>
      <c r="V56" s="209">
        <v>1.0717</v>
      </c>
      <c r="W56" s="211">
        <v>1310</v>
      </c>
      <c r="X56" s="206">
        <v>7100</v>
      </c>
      <c r="Y56" s="206">
        <v>16800</v>
      </c>
      <c r="Z56" s="206"/>
      <c r="AA56" s="206">
        <v>0.3</v>
      </c>
      <c r="AB56" s="206">
        <v>0.1</v>
      </c>
      <c r="AC56" s="206"/>
      <c r="AD56" s="206"/>
      <c r="AE56" s="207"/>
      <c r="AF56" s="207"/>
    </row>
    <row r="57" spans="1:32" s="179" customFormat="1" ht="12" customHeight="1" thickBot="1">
      <c r="A57" s="171">
        <v>2000</v>
      </c>
      <c r="B57" s="499" t="str">
        <f>IF(ISNUMBER(rok2000),rok2000," ")</f>
        <v> </v>
      </c>
      <c r="C57" s="497"/>
      <c r="D57" s="500">
        <f>'Základní varianta - podrobnosti'!S54</f>
        <v>1</v>
      </c>
      <c r="E57" s="501"/>
      <c r="F57" s="499">
        <f>'Základní varianta - podrobnosti'!T54</f>
        <v>0</v>
      </c>
      <c r="G57" s="497"/>
      <c r="H57" s="283">
        <v>2020</v>
      </c>
      <c r="I57" s="449" t="str">
        <f>IF(ISNUMBER(rok2020),IF(rok2020&gt;AD74,AD74,rok2020)," ")</f>
        <v> </v>
      </c>
      <c r="J57" s="450"/>
      <c r="K57" s="456">
        <f>'Základní varianta - podrobnosti'!S74</f>
        <v>1</v>
      </c>
      <c r="L57" s="523"/>
      <c r="M57" s="457">
        <f>'Základní varianta - podrobnosti'!T74</f>
        <v>0</v>
      </c>
      <c r="N57" s="458"/>
      <c r="R57" s="203">
        <v>2003</v>
      </c>
      <c r="S57" s="204">
        <f t="shared" si="0"/>
        <v>1</v>
      </c>
      <c r="T57" s="205">
        <f>IF(ISBLANK('Důchodová a věková kalkulačka'!B75),0,CEILING(MIN('Důchodová a věková kalkulačka'!B75,AD57)*S57,1))</f>
        <v>0</v>
      </c>
      <c r="U57" s="203">
        <v>16769</v>
      </c>
      <c r="V57" s="209">
        <v>1.0665</v>
      </c>
      <c r="W57" s="211">
        <v>1310</v>
      </c>
      <c r="X57" s="206">
        <v>7400</v>
      </c>
      <c r="Y57" s="206">
        <v>17900</v>
      </c>
      <c r="Z57" s="206"/>
      <c r="AA57" s="206">
        <v>0.3</v>
      </c>
      <c r="AB57" s="206">
        <v>0.1</v>
      </c>
      <c r="AC57" s="206"/>
      <c r="AD57" s="206"/>
      <c r="AE57" s="207"/>
      <c r="AF57" s="207"/>
    </row>
    <row r="58" spans="1:32" s="179" customFormat="1" ht="12" customHeight="1">
      <c r="A58" s="169">
        <v>2001</v>
      </c>
      <c r="B58" s="512" t="str">
        <f>IF(ISNUMBER(rok2001),rok2001," ")</f>
        <v> </v>
      </c>
      <c r="C58" s="513"/>
      <c r="D58" s="519">
        <f>'Základní varianta - podrobnosti'!S55</f>
        <v>1</v>
      </c>
      <c r="E58" s="511"/>
      <c r="F58" s="512">
        <f>'Základní varianta - podrobnosti'!T55</f>
        <v>0</v>
      </c>
      <c r="G58" s="513"/>
      <c r="H58" s="173">
        <v>2021</v>
      </c>
      <c r="I58" s="462" t="str">
        <f>IF(ISNUMBER(rok2021),IF(rok2021&gt;AD75,AD75,rok2021)," ")</f>
        <v> </v>
      </c>
      <c r="J58" s="463"/>
      <c r="K58" s="464">
        <f>'Základní varianta - podrobnosti'!S75</f>
        <v>1</v>
      </c>
      <c r="L58" s="464"/>
      <c r="M58" s="465">
        <f>'Základní varianta - podrobnosti'!T75</f>
        <v>0</v>
      </c>
      <c r="N58" s="466"/>
      <c r="R58" s="203">
        <v>2004</v>
      </c>
      <c r="S58" s="204">
        <f t="shared" si="0"/>
        <v>1</v>
      </c>
      <c r="T58" s="205">
        <f>IF(ISBLANK('Důchodová a věková kalkulačka'!B76),0,CEILING(MIN('Důchodová a věková kalkulačka'!B76,AD58)*S58,1))</f>
        <v>0</v>
      </c>
      <c r="U58" s="203">
        <v>17882</v>
      </c>
      <c r="V58" s="209">
        <v>1.0532</v>
      </c>
      <c r="W58" s="211">
        <v>1310</v>
      </c>
      <c r="X58" s="206">
        <v>7500</v>
      </c>
      <c r="Y58" s="206">
        <v>19200</v>
      </c>
      <c r="Z58" s="206"/>
      <c r="AA58" s="206">
        <v>0.3</v>
      </c>
      <c r="AB58" s="206">
        <v>0.1</v>
      </c>
      <c r="AC58" s="206"/>
      <c r="AD58" s="206"/>
      <c r="AE58" s="207"/>
      <c r="AF58" s="207"/>
    </row>
    <row r="59" spans="1:32" s="179" customFormat="1" ht="12" customHeight="1">
      <c r="A59" s="170">
        <v>2002</v>
      </c>
      <c r="B59" s="498" t="str">
        <f>IF(ISNUMBER(rok2002),rok2002," ")</f>
        <v> </v>
      </c>
      <c r="C59" s="495"/>
      <c r="D59" s="508">
        <f>'Základní varianta - podrobnosti'!S56</f>
        <v>1</v>
      </c>
      <c r="E59" s="509"/>
      <c r="F59" s="498">
        <f>'Základní varianta - podrobnosti'!T56</f>
        <v>0</v>
      </c>
      <c r="G59" s="495"/>
      <c r="H59" s="172">
        <v>2022</v>
      </c>
      <c r="I59" s="454" t="str">
        <f>IF(ISNUMBER(rok2022),IF(rok2022&gt;AD76,AD76,rok2022)," ")</f>
        <v> </v>
      </c>
      <c r="J59" s="455"/>
      <c r="K59" s="456">
        <f>'Základní varianta - podrobnosti'!S76</f>
        <v>1</v>
      </c>
      <c r="L59" s="456"/>
      <c r="M59" s="457">
        <f>'Základní varianta - podrobnosti'!T76</f>
        <v>0</v>
      </c>
      <c r="N59" s="458"/>
      <c r="R59" s="203">
        <v>2005</v>
      </c>
      <c r="S59" s="204">
        <f t="shared" si="0"/>
        <v>1</v>
      </c>
      <c r="T59" s="205">
        <f>IF(ISBLANK('Důchodová a věková kalkulačka'!B77),0,CEILING(MIN('Důchodová a věková kalkulačka'!B77,AD59)*S59,1))</f>
        <v>0</v>
      </c>
      <c r="U59" s="203">
        <v>18809</v>
      </c>
      <c r="V59" s="209">
        <v>1.0707</v>
      </c>
      <c r="W59" s="211">
        <v>1400</v>
      </c>
      <c r="X59" s="206">
        <v>8400</v>
      </c>
      <c r="Y59" s="206">
        <v>20500</v>
      </c>
      <c r="Z59" s="206"/>
      <c r="AA59" s="206">
        <v>0.3</v>
      </c>
      <c r="AB59" s="206">
        <v>0.1</v>
      </c>
      <c r="AC59" s="206"/>
      <c r="AD59" s="206"/>
      <c r="AE59" s="207"/>
      <c r="AF59" s="207"/>
    </row>
    <row r="60" spans="1:32" s="179" customFormat="1" ht="12" customHeight="1">
      <c r="A60" s="170">
        <v>2003</v>
      </c>
      <c r="B60" s="498" t="str">
        <f>IF(ISNUMBER(rok2003),rok2003," ")</f>
        <v> </v>
      </c>
      <c r="C60" s="495"/>
      <c r="D60" s="508">
        <f>'Základní varianta - podrobnosti'!S57</f>
        <v>1</v>
      </c>
      <c r="E60" s="509"/>
      <c r="F60" s="498">
        <f>'Základní varianta - podrobnosti'!T57</f>
        <v>0</v>
      </c>
      <c r="G60" s="495"/>
      <c r="H60" s="170">
        <v>2023</v>
      </c>
      <c r="I60" s="454" t="str">
        <f>IF(ISNUMBER(rok2023),IF(rok2023&gt;AD77,AD77,rok2023)," ")</f>
        <v> </v>
      </c>
      <c r="J60" s="455"/>
      <c r="K60" s="456">
        <f>'Základní varianta - podrobnosti'!S77</f>
        <v>1</v>
      </c>
      <c r="L60" s="456"/>
      <c r="M60" s="457">
        <f>'Základní varianta - podrobnosti'!T77</f>
        <v>0</v>
      </c>
      <c r="N60" s="458"/>
      <c r="R60" s="203">
        <v>2006</v>
      </c>
      <c r="S60" s="204">
        <f t="shared" si="0"/>
        <v>1</v>
      </c>
      <c r="T60" s="205">
        <f>IF(ISBLANK('Důchodová a věková kalkulačka'!B78),0,CEILING(MIN('Důchodová a věková kalkulačka'!B78,AD60)*S60,1))</f>
        <v>0</v>
      </c>
      <c r="U60" s="203">
        <v>20050</v>
      </c>
      <c r="V60" s="209">
        <v>1.0753</v>
      </c>
      <c r="W60" s="211">
        <v>1470</v>
      </c>
      <c r="X60" s="206">
        <v>9100</v>
      </c>
      <c r="Y60" s="206">
        <v>21800</v>
      </c>
      <c r="Z60" s="206"/>
      <c r="AA60" s="206">
        <v>0.3</v>
      </c>
      <c r="AB60" s="206">
        <v>0.1</v>
      </c>
      <c r="AC60" s="206"/>
      <c r="AD60" s="206"/>
      <c r="AE60" s="207"/>
      <c r="AF60" s="207"/>
    </row>
    <row r="61" spans="1:32" s="179" customFormat="1" ht="12" customHeight="1">
      <c r="A61" s="170">
        <v>2004</v>
      </c>
      <c r="B61" s="498" t="str">
        <f>IF(ISNUMBER(rok2004),rok2004," ")</f>
        <v> </v>
      </c>
      <c r="C61" s="495"/>
      <c r="D61" s="508">
        <f>'Základní varianta - podrobnosti'!S58</f>
        <v>1</v>
      </c>
      <c r="E61" s="509"/>
      <c r="F61" s="498">
        <f>'Základní varianta - podrobnosti'!T58</f>
        <v>0</v>
      </c>
      <c r="G61" s="495"/>
      <c r="H61" s="170">
        <v>2024</v>
      </c>
      <c r="I61" s="454"/>
      <c r="J61" s="455"/>
      <c r="K61" s="459"/>
      <c r="L61" s="459"/>
      <c r="M61" s="460"/>
      <c r="N61" s="461"/>
      <c r="R61" s="203">
        <v>2007</v>
      </c>
      <c r="S61" s="204">
        <f t="shared" si="0"/>
        <v>1</v>
      </c>
      <c r="T61" s="205">
        <f>IF(ISBLANK('Důchodová a věková kalkulačka'!B79),0,CEILING(MIN('Důchodová a věková kalkulačka'!B79,AD61)*S61,1))</f>
        <v>0</v>
      </c>
      <c r="U61" s="203">
        <v>21527</v>
      </c>
      <c r="V61" s="209">
        <v>1.0942</v>
      </c>
      <c r="W61" s="211">
        <v>1570</v>
      </c>
      <c r="X61" s="206">
        <v>9600</v>
      </c>
      <c r="Y61" s="206">
        <v>23300</v>
      </c>
      <c r="Z61" s="206"/>
      <c r="AA61" s="206">
        <v>0.3</v>
      </c>
      <c r="AB61" s="206">
        <v>0.1</v>
      </c>
      <c r="AC61" s="206"/>
      <c r="AD61" s="206"/>
      <c r="AE61" s="207"/>
      <c r="AF61" s="207"/>
    </row>
    <row r="62" spans="1:32" s="179" customFormat="1" ht="12" customHeight="1" thickBot="1">
      <c r="A62" s="171">
        <v>2005</v>
      </c>
      <c r="B62" s="499" t="str">
        <f>IF(ISNUMBER(rok2005),rok2005," ")</f>
        <v> </v>
      </c>
      <c r="C62" s="497"/>
      <c r="D62" s="500">
        <f>'Základní varianta - podrobnosti'!S59</f>
        <v>1</v>
      </c>
      <c r="E62" s="501"/>
      <c r="F62" s="499">
        <f>'Základní varianta - podrobnosti'!T59</f>
        <v>0</v>
      </c>
      <c r="G62" s="497"/>
      <c r="H62" s="283">
        <v>2025</v>
      </c>
      <c r="I62" s="449"/>
      <c r="J62" s="450"/>
      <c r="K62" s="451"/>
      <c r="L62" s="451"/>
      <c r="M62" s="452"/>
      <c r="N62" s="453"/>
      <c r="R62" s="203">
        <v>2008</v>
      </c>
      <c r="S62" s="204">
        <f t="shared" si="0"/>
        <v>1</v>
      </c>
      <c r="T62" s="205">
        <f>IF(ISBLANK('Důchodová a věková kalkulačka'!B80),0,CEILING(MIN('Důchodová a věková kalkulačka'!B80,AD62)*S62,1))</f>
        <v>0</v>
      </c>
      <c r="U62" s="203">
        <v>23280</v>
      </c>
      <c r="V62" s="209">
        <v>1.0184</v>
      </c>
      <c r="W62" s="211">
        <v>2170</v>
      </c>
      <c r="X62" s="206">
        <v>10000</v>
      </c>
      <c r="Y62" s="206">
        <v>24800</v>
      </c>
      <c r="Z62" s="206"/>
      <c r="AA62" s="206">
        <v>0.3</v>
      </c>
      <c r="AB62" s="206">
        <v>0.1</v>
      </c>
      <c r="AC62" s="206"/>
      <c r="AD62" s="212">
        <f>AE62*AF62*12</f>
        <v>1034880</v>
      </c>
      <c r="AE62" s="213">
        <v>21560</v>
      </c>
      <c r="AF62" s="213">
        <v>4</v>
      </c>
    </row>
    <row r="63" spans="18:32" s="179" customFormat="1" ht="10.5" customHeight="1">
      <c r="R63" s="203">
        <v>2009</v>
      </c>
      <c r="S63" s="204">
        <f t="shared" si="0"/>
        <v>1</v>
      </c>
      <c r="T63" s="205">
        <f>IF(ISBLANK('Důchodová a věková kalkulačka'!B81),0,CEILING(MIN('Důchodová a věková kalkulačka'!B81,AD63)*S63,1))</f>
        <v>0</v>
      </c>
      <c r="U63" s="203">
        <v>24091</v>
      </c>
      <c r="V63" s="209">
        <v>1.0269</v>
      </c>
      <c r="W63" s="211">
        <v>2170</v>
      </c>
      <c r="X63" s="206">
        <v>10500</v>
      </c>
      <c r="Y63" s="206">
        <v>27000</v>
      </c>
      <c r="Z63" s="206"/>
      <c r="AA63" s="206">
        <v>0.3</v>
      </c>
      <c r="AB63" s="206">
        <v>0.1</v>
      </c>
      <c r="AC63" s="206"/>
      <c r="AD63" s="212">
        <f aca="true" t="shared" si="1" ref="AD63:AD73">AE63*AF63*12</f>
        <v>1130640</v>
      </c>
      <c r="AE63" s="213">
        <v>23555</v>
      </c>
      <c r="AF63" s="213">
        <v>4</v>
      </c>
    </row>
    <row r="64" spans="2:32" s="179" customFormat="1" ht="10.5" customHeight="1">
      <c r="B64" s="530"/>
      <c r="C64" s="530"/>
      <c r="R64" s="203">
        <v>2010</v>
      </c>
      <c r="S64" s="204">
        <f t="shared" si="0"/>
        <v>1</v>
      </c>
      <c r="T64" s="205">
        <f>IF(ISBLANK('Důchodová a věková kalkulačka'!B82),0,CEILING(MIN('Důchodová a věková kalkulačka'!B82,AD64)*S64,1))</f>
        <v>0</v>
      </c>
      <c r="U64" s="203">
        <v>24526</v>
      </c>
      <c r="V64" s="209">
        <v>1.0249</v>
      </c>
      <c r="W64" s="211">
        <v>2170</v>
      </c>
      <c r="X64" s="206">
        <v>10500</v>
      </c>
      <c r="Y64" s="206">
        <v>27000</v>
      </c>
      <c r="Z64" s="206"/>
      <c r="AA64" s="206">
        <v>0.3</v>
      </c>
      <c r="AB64" s="206">
        <v>0.1</v>
      </c>
      <c r="AC64" s="206"/>
      <c r="AD64" s="212">
        <f t="shared" si="1"/>
        <v>1707048</v>
      </c>
      <c r="AE64" s="213">
        <v>23709</v>
      </c>
      <c r="AF64" s="213">
        <v>6</v>
      </c>
    </row>
    <row r="65" spans="2:32" s="179" customFormat="1" ht="10.5" customHeight="1">
      <c r="B65" s="531"/>
      <c r="C65" s="531"/>
      <c r="D65" s="310"/>
      <c r="I65" s="310"/>
      <c r="R65" s="203">
        <v>2011</v>
      </c>
      <c r="S65" s="204">
        <f t="shared" si="0"/>
        <v>1</v>
      </c>
      <c r="T65" s="205">
        <f>IF(ISBLANK('Důchodová a věková kalkulačka'!B83),0,CEILING(MIN('Důchodová a věková kalkulačka'!B83,AD65)*S65,1))</f>
        <v>0</v>
      </c>
      <c r="U65" s="203">
        <v>25093</v>
      </c>
      <c r="V65" s="214">
        <v>1.0315</v>
      </c>
      <c r="W65" s="211">
        <v>2230</v>
      </c>
      <c r="X65" s="206">
        <f>IF(USS=1,10886,11000)</f>
        <v>11000</v>
      </c>
      <c r="Y65" s="206">
        <f>IF(USS=1,28699,28200)</f>
        <v>28200</v>
      </c>
      <c r="Z65" s="206">
        <f>IF(USS=1,98960,0)</f>
        <v>0</v>
      </c>
      <c r="AA65" s="206">
        <f>IF(USS=1,0.29,0.3)</f>
        <v>0.3</v>
      </c>
      <c r="AB65" s="206">
        <f>IF(USS=1,0.13,0.1)</f>
        <v>0.1</v>
      </c>
      <c r="AC65" s="206">
        <f>IF(USS=1,0.1,0)</f>
        <v>0</v>
      </c>
      <c r="AD65" s="212">
        <f t="shared" si="1"/>
        <v>1781280</v>
      </c>
      <c r="AE65" s="213">
        <v>24740</v>
      </c>
      <c r="AF65" s="213">
        <v>6</v>
      </c>
    </row>
    <row r="66" spans="18:32" s="179" customFormat="1" ht="10.5" customHeight="1">
      <c r="R66" s="203">
        <v>2012</v>
      </c>
      <c r="S66" s="204">
        <f t="shared" si="0"/>
        <v>1</v>
      </c>
      <c r="T66" s="205">
        <f>IF(ISBLANK('Důchodová a věková kalkulačka'!B84),0,CEILING(MIN('Důchodová a věková kalkulačka'!B84,AD66)*S66,1))</f>
        <v>0</v>
      </c>
      <c r="U66" s="203">
        <v>25903</v>
      </c>
      <c r="V66" s="209">
        <v>1.0015</v>
      </c>
      <c r="W66" s="211">
        <v>2270</v>
      </c>
      <c r="X66" s="206">
        <v>11061</v>
      </c>
      <c r="Y66" s="206">
        <v>29159</v>
      </c>
      <c r="Z66" s="206">
        <v>100548</v>
      </c>
      <c r="AA66" s="206">
        <v>0.28</v>
      </c>
      <c r="AB66" s="206">
        <v>0.16</v>
      </c>
      <c r="AC66" s="206">
        <v>0.08</v>
      </c>
      <c r="AD66" s="212">
        <f t="shared" si="1"/>
        <v>1206576</v>
      </c>
      <c r="AE66" s="213">
        <v>25137</v>
      </c>
      <c r="AF66" s="213">
        <v>4</v>
      </c>
    </row>
    <row r="67" spans="18:32" s="179" customFormat="1" ht="10.5" customHeight="1">
      <c r="R67" s="203">
        <v>2013</v>
      </c>
      <c r="S67" s="204">
        <f t="shared" si="0"/>
        <v>1</v>
      </c>
      <c r="T67" s="205">
        <f>IF(ISBLANK('Důchodová a věková kalkulačka'!B85),0,CEILING(MIN('Důchodová a věková kalkulačka'!B85,AD67)*S67,1))</f>
        <v>0</v>
      </c>
      <c r="U67" s="203">
        <v>25903</v>
      </c>
      <c r="V67" s="209">
        <v>1.0273</v>
      </c>
      <c r="W67" s="211">
        <v>2330</v>
      </c>
      <c r="X67" s="206">
        <v>11389</v>
      </c>
      <c r="Y67" s="206">
        <f>CEILING($AE67*1.16,1)</f>
        <v>30026</v>
      </c>
      <c r="Z67" s="206">
        <v>103536</v>
      </c>
      <c r="AA67" s="206">
        <v>0.27</v>
      </c>
      <c r="AB67" s="206">
        <v>0.19</v>
      </c>
      <c r="AC67" s="206">
        <v>0.06</v>
      </c>
      <c r="AD67" s="212">
        <f t="shared" si="1"/>
        <v>1242432</v>
      </c>
      <c r="AE67" s="213">
        <v>25884</v>
      </c>
      <c r="AF67" s="213">
        <v>4</v>
      </c>
    </row>
    <row r="68" spans="9:32" s="179" customFormat="1" ht="10.5" customHeight="1">
      <c r="I68" s="310"/>
      <c r="R68" s="203">
        <v>2014</v>
      </c>
      <c r="S68" s="204">
        <f t="shared" si="0"/>
        <v>1</v>
      </c>
      <c r="T68" s="205">
        <f>IF(ISBLANK('Důchodová a věková kalkulačka'!B86),0,CEILING(MIN('Důchodová a věková kalkulačka'!B86,AD68)*S68,1))</f>
        <v>0</v>
      </c>
      <c r="U68" s="203">
        <v>26357</v>
      </c>
      <c r="V68" s="209">
        <v>1.0246</v>
      </c>
      <c r="W68" s="211">
        <f>CEILING($AE68*0.09,10)</f>
        <v>2340</v>
      </c>
      <c r="X68" s="206">
        <f aca="true" t="shared" si="2" ref="X68:X73">CEILING($AE68*0.44,1)</f>
        <v>11415</v>
      </c>
      <c r="Y68" s="206">
        <f>CEILING($AE68*1.16,1)</f>
        <v>30093</v>
      </c>
      <c r="Z68" s="206">
        <v>103768</v>
      </c>
      <c r="AA68" s="206">
        <v>0.26</v>
      </c>
      <c r="AB68" s="206">
        <v>0.22</v>
      </c>
      <c r="AC68" s="206">
        <v>0.03</v>
      </c>
      <c r="AD68" s="212">
        <f t="shared" si="1"/>
        <v>1245216</v>
      </c>
      <c r="AE68" s="213">
        <f aca="true" t="shared" si="3" ref="AE68:AE75">MAX(CEILING(U66*V66,1),AE67)</f>
        <v>25942</v>
      </c>
      <c r="AF68" s="213">
        <v>4</v>
      </c>
    </row>
    <row r="69" spans="18:32" s="179" customFormat="1" ht="10.5" customHeight="1">
      <c r="R69" s="211">
        <v>2015</v>
      </c>
      <c r="S69" s="204">
        <f t="shared" si="0"/>
        <v>1</v>
      </c>
      <c r="T69" s="205">
        <f>IF(ISBLANK('Důchodová a věková kalkulačka'!B87),0,CEILING(MIN('Důchodová a věková kalkulačka'!B87,AD69)*S69,1))</f>
        <v>0</v>
      </c>
      <c r="U69" s="203">
        <v>27156</v>
      </c>
      <c r="V69" s="209">
        <v>1.0396</v>
      </c>
      <c r="W69" s="211">
        <f>CEILING($AE69*0.09,10)</f>
        <v>2400</v>
      </c>
      <c r="X69" s="206">
        <f>CEILING($AE69*0.44,1)</f>
        <v>11709</v>
      </c>
      <c r="Y69" s="206">
        <f aca="true" t="shared" si="4" ref="Y69:Y75">CEILING($AE69*4,1)</f>
        <v>106444</v>
      </c>
      <c r="Z69" s="206"/>
      <c r="AA69" s="206">
        <v>0.26</v>
      </c>
      <c r="AB69" s="206">
        <v>0</v>
      </c>
      <c r="AC69" s="206">
        <v>0</v>
      </c>
      <c r="AD69" s="206">
        <f t="shared" si="1"/>
        <v>1277328</v>
      </c>
      <c r="AE69" s="213">
        <f t="shared" si="3"/>
        <v>26611</v>
      </c>
      <c r="AF69" s="213">
        <v>4</v>
      </c>
    </row>
    <row r="70" spans="18:32" s="179" customFormat="1" ht="10.5" customHeight="1">
      <c r="R70" s="301">
        <v>2016</v>
      </c>
      <c r="S70" s="302">
        <f t="shared" si="0"/>
        <v>1</v>
      </c>
      <c r="T70" s="303">
        <f>IF(ISBLANK('Důchodová a věková kalkulačka'!B88),0,CEILING(MIN('Důchodová a věková kalkulačka'!B88,AD70)*S70,1))</f>
        <v>0</v>
      </c>
      <c r="U70" s="301">
        <v>28250</v>
      </c>
      <c r="V70" s="304">
        <v>1.0612</v>
      </c>
      <c r="W70" s="305">
        <f>CEILING($AE70*0.09,10)</f>
        <v>2440</v>
      </c>
      <c r="X70" s="306">
        <f t="shared" si="2"/>
        <v>11883</v>
      </c>
      <c r="Y70" s="306">
        <f t="shared" si="4"/>
        <v>108024</v>
      </c>
      <c r="Z70" s="306"/>
      <c r="AA70" s="306">
        <v>0.26</v>
      </c>
      <c r="AB70" s="306">
        <v>0</v>
      </c>
      <c r="AC70" s="306">
        <v>0</v>
      </c>
      <c r="AD70" s="307">
        <f t="shared" si="1"/>
        <v>1296288</v>
      </c>
      <c r="AE70" s="308">
        <f t="shared" si="3"/>
        <v>27006</v>
      </c>
      <c r="AF70" s="309">
        <v>4</v>
      </c>
    </row>
    <row r="71" spans="18:32" s="179" customFormat="1" ht="10.5" customHeight="1">
      <c r="R71" s="305">
        <v>2017</v>
      </c>
      <c r="S71" s="302">
        <f t="shared" si="0"/>
        <v>1</v>
      </c>
      <c r="T71" s="303">
        <f>IF(ISBLANK('Důchodová a věková kalkulačka'!B89),0,CEILING(MIN('Důchodová a věková kalkulačka'!B89,AD71)*S71,1))</f>
        <v>0</v>
      </c>
      <c r="U71" s="312">
        <v>30156</v>
      </c>
      <c r="V71" s="304">
        <v>1.0843</v>
      </c>
      <c r="W71" s="305">
        <f>CEILING($AE71*0.09,10)</f>
        <v>2550</v>
      </c>
      <c r="X71" s="306">
        <f t="shared" si="2"/>
        <v>12423</v>
      </c>
      <c r="Y71" s="306">
        <f t="shared" si="4"/>
        <v>112928</v>
      </c>
      <c r="Z71" s="306"/>
      <c r="AA71" s="306">
        <v>0.26</v>
      </c>
      <c r="AB71" s="314">
        <v>0</v>
      </c>
      <c r="AC71" s="306">
        <v>0</v>
      </c>
      <c r="AD71" s="307">
        <f t="shared" si="1"/>
        <v>1355136</v>
      </c>
      <c r="AE71" s="308">
        <f t="shared" si="3"/>
        <v>28232</v>
      </c>
      <c r="AF71" s="309">
        <v>4</v>
      </c>
    </row>
    <row r="72" spans="18:32" s="179" customFormat="1" ht="10.5" customHeight="1">
      <c r="R72" s="327">
        <v>2018</v>
      </c>
      <c r="S72" s="302">
        <f t="shared" si="0"/>
        <v>1</v>
      </c>
      <c r="T72" s="303">
        <f>IF(ISBLANK('Důchodová a věková kalkulačka'!B90),0,CEILING(MIN('Důchodová a věková kalkulačka'!B90,AD72)*S72,1))</f>
        <v>0</v>
      </c>
      <c r="U72" s="327">
        <v>32510</v>
      </c>
      <c r="V72" s="304">
        <v>1.0715</v>
      </c>
      <c r="W72" s="305">
        <f>CEILING($AE72*0.09,10)</f>
        <v>2700</v>
      </c>
      <c r="X72" s="306">
        <f t="shared" si="2"/>
        <v>13191</v>
      </c>
      <c r="Y72" s="306">
        <f t="shared" si="4"/>
        <v>119916</v>
      </c>
      <c r="Z72" s="306"/>
      <c r="AA72" s="306">
        <v>0.26</v>
      </c>
      <c r="AB72" s="314">
        <v>0</v>
      </c>
      <c r="AC72" s="306">
        <v>0</v>
      </c>
      <c r="AD72" s="307">
        <f t="shared" si="1"/>
        <v>1438992</v>
      </c>
      <c r="AE72" s="308">
        <f t="shared" si="3"/>
        <v>29979</v>
      </c>
      <c r="AF72" s="309">
        <v>4</v>
      </c>
    </row>
    <row r="73" spans="18:32" s="179" customFormat="1" ht="10.5" customHeight="1">
      <c r="R73" s="211">
        <v>2019</v>
      </c>
      <c r="S73" s="204">
        <f t="shared" si="0"/>
        <v>1</v>
      </c>
      <c r="T73" s="205">
        <f>IF(ISBLANK('Důchodová a věková kalkulačka'!B91),0,CEILING(MIN('Důchodová a věková kalkulačka'!B91,AD73)*S73,1))</f>
        <v>0</v>
      </c>
      <c r="U73" s="203">
        <v>34766</v>
      </c>
      <c r="V73" s="209">
        <v>1.0194</v>
      </c>
      <c r="W73" s="211">
        <f aca="true" t="shared" si="5" ref="W73:W84">CEILING($AE73*0.1,10)</f>
        <v>3270</v>
      </c>
      <c r="X73" s="206">
        <f t="shared" si="2"/>
        <v>14388</v>
      </c>
      <c r="Y73" s="206">
        <f t="shared" si="4"/>
        <v>130796</v>
      </c>
      <c r="Z73" s="206"/>
      <c r="AA73" s="206">
        <v>0.26</v>
      </c>
      <c r="AB73" s="319">
        <v>0</v>
      </c>
      <c r="AC73" s="206">
        <v>0</v>
      </c>
      <c r="AD73" s="206">
        <f t="shared" si="1"/>
        <v>1569552</v>
      </c>
      <c r="AE73" s="213">
        <f t="shared" si="3"/>
        <v>32699</v>
      </c>
      <c r="AF73" s="207">
        <v>4</v>
      </c>
    </row>
    <row r="74" spans="1:33" s="179" customFormat="1" ht="10.5" customHeight="1">
      <c r="A74" s="5"/>
      <c r="F74" s="5"/>
      <c r="G74" s="5"/>
      <c r="R74" s="336">
        <v>2020</v>
      </c>
      <c r="S74" s="338">
        <f aca="true" t="shared" si="6" ref="S74:S79">IF(R74&gt;=(YEAR(datprizn)-1),1,ROUND($T$20/U74,4))</f>
        <v>1</v>
      </c>
      <c r="T74" s="339">
        <f>IF(ISBLANK('Důchodová a věková kalkulačka'!B92),0,CEILING(MIN('Důchodová a věková kalkulačka'!B92,AD74)*S74,1))</f>
        <v>0</v>
      </c>
      <c r="U74" s="322">
        <v>36119</v>
      </c>
      <c r="V74" s="340">
        <v>1.0773</v>
      </c>
      <c r="W74" s="341">
        <f t="shared" si="5"/>
        <v>3490</v>
      </c>
      <c r="X74" s="342">
        <f aca="true" t="shared" si="7" ref="X74:X84">CEILING($AE74*0.44,1)</f>
        <v>15328</v>
      </c>
      <c r="Y74" s="342">
        <f t="shared" si="4"/>
        <v>139340</v>
      </c>
      <c r="Z74" s="342"/>
      <c r="AA74" s="342">
        <v>0.26</v>
      </c>
      <c r="AB74" s="342">
        <v>0</v>
      </c>
      <c r="AC74" s="342">
        <v>0</v>
      </c>
      <c r="AD74" s="343">
        <f aca="true" t="shared" si="8" ref="AD74:AD79">AE74*AF74*12</f>
        <v>1672080</v>
      </c>
      <c r="AE74" s="344">
        <f t="shared" si="3"/>
        <v>34835</v>
      </c>
      <c r="AF74" s="345">
        <v>4</v>
      </c>
      <c r="AG74" s="178"/>
    </row>
    <row r="75" spans="1:33" s="179" customFormat="1" ht="10.5" customHeight="1">
      <c r="A75" s="5"/>
      <c r="F75" s="5"/>
      <c r="G75" s="5"/>
      <c r="R75" s="203">
        <v>2021</v>
      </c>
      <c r="S75" s="204">
        <f t="shared" si="6"/>
        <v>1</v>
      </c>
      <c r="T75" s="321">
        <f>IF(ISBLANK('Důchodová a věková kalkulačka'!B93),0,CEILING(MIN('Důchodová a věková kalkulačka'!B93,AD75)*S75,1))</f>
        <v>0</v>
      </c>
      <c r="U75" s="323">
        <v>38294</v>
      </c>
      <c r="V75" s="209">
        <v>1.053</v>
      </c>
      <c r="W75" s="211">
        <f t="shared" si="5"/>
        <v>3550</v>
      </c>
      <c r="X75" s="206">
        <f t="shared" si="7"/>
        <v>15595</v>
      </c>
      <c r="Y75" s="206">
        <f t="shared" si="4"/>
        <v>141764</v>
      </c>
      <c r="Z75" s="206"/>
      <c r="AA75" s="206">
        <v>0.26</v>
      </c>
      <c r="AB75" s="206">
        <v>0</v>
      </c>
      <c r="AC75" s="206">
        <v>0</v>
      </c>
      <c r="AD75" s="212">
        <f t="shared" si="8"/>
        <v>1701168</v>
      </c>
      <c r="AE75" s="213">
        <f t="shared" si="3"/>
        <v>35441</v>
      </c>
      <c r="AF75" s="207">
        <v>4</v>
      </c>
      <c r="AG75" s="178"/>
    </row>
    <row r="76" spans="18:33" ht="12.75">
      <c r="R76" s="376">
        <v>2022</v>
      </c>
      <c r="S76" s="338">
        <f t="shared" si="6"/>
        <v>1</v>
      </c>
      <c r="T76" s="339">
        <f>IF(ISBLANK('Důchodová a věková kalkulačka'!B94),0,CEILING(MIN('Důchodová a věková kalkulačka'!B94,AD76)*S76,1))</f>
        <v>0</v>
      </c>
      <c r="U76" s="322">
        <v>40638</v>
      </c>
      <c r="V76" s="340">
        <v>1.0819</v>
      </c>
      <c r="W76" s="341">
        <f t="shared" si="5"/>
        <v>3900</v>
      </c>
      <c r="X76" s="342">
        <f t="shared" si="7"/>
        <v>17121</v>
      </c>
      <c r="Y76" s="342">
        <f aca="true" t="shared" si="9" ref="Y76:Y84">CEILING($AE76*4,1)</f>
        <v>155644</v>
      </c>
      <c r="Z76" s="342"/>
      <c r="AA76" s="342">
        <v>0.26</v>
      </c>
      <c r="AB76" s="342">
        <v>0</v>
      </c>
      <c r="AC76" s="342">
        <v>0</v>
      </c>
      <c r="AD76" s="343">
        <f t="shared" si="8"/>
        <v>1867728</v>
      </c>
      <c r="AE76" s="344">
        <f>MAX(CEILING(U74*V74,1),AE75)</f>
        <v>38911</v>
      </c>
      <c r="AF76" s="345">
        <v>4</v>
      </c>
      <c r="AG76" s="8"/>
    </row>
    <row r="77" spans="18:33" ht="13.5" thickBot="1">
      <c r="R77" s="385">
        <v>2023</v>
      </c>
      <c r="S77" s="386">
        <f t="shared" si="6"/>
        <v>1</v>
      </c>
      <c r="T77" s="387">
        <f>IF(ISBLANK('Důchodová a věková kalkulačka'!B95),0,CEILING(MIN('Důchodová a věková kalkulačka'!B95,AD77)*S77,1))</f>
        <v>0</v>
      </c>
      <c r="U77" s="385">
        <f>IF(ISBLANK(uzpred23),40638,uzpred23)</f>
        <v>40638</v>
      </c>
      <c r="V77" s="388">
        <f>IF(ISBLANK(uzpred23),1.0819,1.0945)</f>
        <v>1.0819</v>
      </c>
      <c r="W77" s="389">
        <f t="shared" si="5"/>
        <v>4040</v>
      </c>
      <c r="X77" s="390">
        <f t="shared" si="7"/>
        <v>17743</v>
      </c>
      <c r="Y77" s="390">
        <f t="shared" si="9"/>
        <v>161296</v>
      </c>
      <c r="Z77" s="390"/>
      <c r="AA77" s="390">
        <v>0.26</v>
      </c>
      <c r="AB77" s="390">
        <v>0</v>
      </c>
      <c r="AC77" s="390">
        <v>0</v>
      </c>
      <c r="AD77" s="390">
        <f t="shared" si="8"/>
        <v>1935552</v>
      </c>
      <c r="AE77" s="391">
        <f>MAX(CEILING(U75*V75,1),AE76)</f>
        <v>40324</v>
      </c>
      <c r="AF77" s="392">
        <v>4</v>
      </c>
      <c r="AG77" s="8"/>
    </row>
    <row r="78" spans="18:33" ht="12.75">
      <c r="R78" s="377">
        <v>2024</v>
      </c>
      <c r="S78" s="215">
        <f t="shared" si="6"/>
        <v>1</v>
      </c>
      <c r="T78" s="320">
        <f>IF(ISBLANK('Důchodová a věková kalkulačka'!B96),0,CEILING(MIN('Důchodová a věková kalkulačka'!B96,AD78)*S78,1))</f>
        <v>0</v>
      </c>
      <c r="U78" s="352">
        <f>IF(ISBLANK(uzpred24),40638,uzpred24)</f>
        <v>40638</v>
      </c>
      <c r="V78" s="329">
        <f>IF(ISBLANK(uzpred24),1.0819,1.0995)</f>
        <v>1.0819</v>
      </c>
      <c r="W78" s="216">
        <f t="shared" si="5"/>
        <v>4400</v>
      </c>
      <c r="X78" s="217">
        <f t="shared" si="7"/>
        <v>19346</v>
      </c>
      <c r="Y78" s="217">
        <f t="shared" si="9"/>
        <v>175868</v>
      </c>
      <c r="Z78" s="217"/>
      <c r="AA78" s="217">
        <v>0.26</v>
      </c>
      <c r="AB78" s="217">
        <v>0</v>
      </c>
      <c r="AC78" s="217">
        <v>0</v>
      </c>
      <c r="AD78" s="218">
        <f t="shared" si="8"/>
        <v>2110416</v>
      </c>
      <c r="AE78" s="219">
        <f aca="true" t="shared" si="10" ref="AE78:AE83">MAX(CEILING(U76*V76,1),AE75)</f>
        <v>43967</v>
      </c>
      <c r="AF78" s="220">
        <v>4</v>
      </c>
      <c r="AG78" s="8"/>
    </row>
    <row r="79" spans="18:33" ht="12.75">
      <c r="R79" s="203">
        <v>2025</v>
      </c>
      <c r="S79" s="204">
        <f t="shared" si="6"/>
        <v>1</v>
      </c>
      <c r="T79" s="320">
        <f>IF(ISBLANK('Důchodová a věková kalkulačka'!B97),0,CEILING(MIN('Důchodová a věková kalkulačka'!B97,AD79)*S79,1))</f>
        <v>0</v>
      </c>
      <c r="U79" s="323">
        <f>IF(ISBLANK(uzpred25),40638,uzpred25)</f>
        <v>40638</v>
      </c>
      <c r="V79" s="209">
        <f>IF(ISBLANK(uzpred25),1.0819,1.1035)</f>
        <v>1.0819</v>
      </c>
      <c r="W79" s="211">
        <f t="shared" si="5"/>
        <v>4400</v>
      </c>
      <c r="X79" s="206">
        <f t="shared" si="7"/>
        <v>19346</v>
      </c>
      <c r="Y79" s="206">
        <f t="shared" si="9"/>
        <v>175868</v>
      </c>
      <c r="Z79" s="206"/>
      <c r="AA79" s="206">
        <v>0.26</v>
      </c>
      <c r="AB79" s="206">
        <v>0</v>
      </c>
      <c r="AC79" s="206">
        <v>0</v>
      </c>
      <c r="AD79" s="212">
        <f t="shared" si="8"/>
        <v>2110416</v>
      </c>
      <c r="AE79" s="213">
        <f t="shared" si="10"/>
        <v>43967</v>
      </c>
      <c r="AF79" s="207">
        <v>4</v>
      </c>
      <c r="AG79" s="8"/>
    </row>
    <row r="80" spans="18:33" ht="12.75">
      <c r="R80" s="203">
        <v>2026</v>
      </c>
      <c r="S80" s="204">
        <f>IF(R80&gt;=(YEAR(datprizn)-1),1,ROUND($T$20/U80,4))</f>
        <v>1</v>
      </c>
      <c r="T80" s="320">
        <f>IF(ISBLANK('Důchodová a věková kalkulačka'!B98),0,CEILING(MIN('Důchodová a věková kalkulačka'!B98,AD80)*S80,1))</f>
        <v>0</v>
      </c>
      <c r="U80" s="323">
        <f>IF(ISBLANK(uzpred26),40638,uzpred26)</f>
        <v>40638</v>
      </c>
      <c r="V80" s="209">
        <f>IF(ISBLANK(uzpred26),1.0819,1.1075)</f>
        <v>1.0819</v>
      </c>
      <c r="W80" s="211">
        <f t="shared" si="5"/>
        <v>4400</v>
      </c>
      <c r="X80" s="206">
        <f t="shared" si="7"/>
        <v>19346</v>
      </c>
      <c r="Y80" s="206">
        <f t="shared" si="9"/>
        <v>175868</v>
      </c>
      <c r="Z80" s="206"/>
      <c r="AA80" s="206">
        <v>0.26</v>
      </c>
      <c r="AB80" s="206">
        <v>0</v>
      </c>
      <c r="AC80" s="206">
        <v>0</v>
      </c>
      <c r="AD80" s="212">
        <f>AE80*AF80*12</f>
        <v>2110416</v>
      </c>
      <c r="AE80" s="213">
        <f t="shared" si="10"/>
        <v>43967</v>
      </c>
      <c r="AF80" s="207">
        <v>4</v>
      </c>
      <c r="AG80" s="8"/>
    </row>
    <row r="81" spans="18:33" ht="12.75">
      <c r="R81" s="203">
        <v>2027</v>
      </c>
      <c r="S81" s="204">
        <f>IF(R81&gt;=(YEAR(datprizn)-1),1,ROUND($T$20/U81,4))</f>
        <v>1</v>
      </c>
      <c r="T81" s="320">
        <f>IF(ISBLANK('Důchodová a věková kalkulačka'!B99),0,CEILING(MIN('Důchodová a věková kalkulačka'!B99,AD81)*S81,1))</f>
        <v>0</v>
      </c>
      <c r="U81" s="323">
        <f>IF(ISBLANK(uzpred27),40638,uzpred27)</f>
        <v>40638</v>
      </c>
      <c r="V81" s="209">
        <f>IF(ISBLANK(uzpred27),1.0819,1.1085)</f>
        <v>1.0819</v>
      </c>
      <c r="W81" s="211">
        <f t="shared" si="5"/>
        <v>4400</v>
      </c>
      <c r="X81" s="206">
        <f t="shared" si="7"/>
        <v>19346</v>
      </c>
      <c r="Y81" s="206">
        <f t="shared" si="9"/>
        <v>175868</v>
      </c>
      <c r="Z81" s="206"/>
      <c r="AA81" s="206">
        <v>0.26</v>
      </c>
      <c r="AB81" s="206">
        <v>0</v>
      </c>
      <c r="AC81" s="206">
        <v>0</v>
      </c>
      <c r="AD81" s="212">
        <f>AE81*AF81*12</f>
        <v>2110416</v>
      </c>
      <c r="AE81" s="213">
        <f t="shared" si="10"/>
        <v>43967</v>
      </c>
      <c r="AF81" s="207">
        <v>4</v>
      </c>
      <c r="AG81" s="8"/>
    </row>
    <row r="82" spans="18:33" ht="12.75">
      <c r="R82" s="203">
        <v>2028</v>
      </c>
      <c r="S82" s="204">
        <f>IF(R82&gt;=(YEAR(datprizn)-1),1,ROUND($T$20/U82,4))</f>
        <v>1</v>
      </c>
      <c r="T82" s="320">
        <f>IF(ISBLANK('Důchodová a věková kalkulačka'!B100),0,CEILING(MIN('Důchodová a věková kalkulačka'!B100,AD82)*S82,1))</f>
        <v>0</v>
      </c>
      <c r="U82" s="323">
        <f>IF(ISBLANK(uzpred28),40638,uzpred28)</f>
        <v>40638</v>
      </c>
      <c r="V82" s="209">
        <f>IF(ISBLANK(uzpred28),1.0819,1.1085)</f>
        <v>1.0819</v>
      </c>
      <c r="W82" s="211">
        <f t="shared" si="5"/>
        <v>4400</v>
      </c>
      <c r="X82" s="206">
        <f t="shared" si="7"/>
        <v>19346</v>
      </c>
      <c r="Y82" s="206">
        <f t="shared" si="9"/>
        <v>175868</v>
      </c>
      <c r="Z82" s="206"/>
      <c r="AA82" s="206">
        <v>0.26</v>
      </c>
      <c r="AB82" s="206">
        <v>0</v>
      </c>
      <c r="AC82" s="206">
        <v>0</v>
      </c>
      <c r="AD82" s="212">
        <f>AE82*AF82*12</f>
        <v>2110416</v>
      </c>
      <c r="AE82" s="213">
        <f t="shared" si="10"/>
        <v>43967</v>
      </c>
      <c r="AF82" s="207">
        <v>4</v>
      </c>
      <c r="AG82" s="8"/>
    </row>
    <row r="83" spans="18:33" ht="12.75">
      <c r="R83" s="203">
        <v>2029</v>
      </c>
      <c r="S83" s="204">
        <f>IF(R83&gt;=(YEAR(datprizn)-1),1,ROUND($T$20/U83,4))</f>
        <v>1</v>
      </c>
      <c r="T83" s="320">
        <f>IF(ISBLANK('Důchodová a věková kalkulačka'!B101),0,CEILING(MIN('Důchodová a věková kalkulačka'!B101,AD83)*S83,1))</f>
        <v>0</v>
      </c>
      <c r="U83" s="323">
        <f>IF(ISBLANK(uzpred29),40638,uzpred29)</f>
        <v>40638</v>
      </c>
      <c r="V83" s="209">
        <f>IF(ISBLANK(uzpred29),1.0819,1.1085)</f>
        <v>1.0819</v>
      </c>
      <c r="W83" s="211">
        <f t="shared" si="5"/>
        <v>4400</v>
      </c>
      <c r="X83" s="206">
        <f t="shared" si="7"/>
        <v>19346</v>
      </c>
      <c r="Y83" s="206">
        <f t="shared" si="9"/>
        <v>175868</v>
      </c>
      <c r="Z83" s="206"/>
      <c r="AA83" s="206">
        <v>0.26</v>
      </c>
      <c r="AB83" s="206">
        <v>0</v>
      </c>
      <c r="AC83" s="206">
        <v>0</v>
      </c>
      <c r="AD83" s="212">
        <f>AE83*AF83*12</f>
        <v>2110416</v>
      </c>
      <c r="AE83" s="213">
        <f t="shared" si="10"/>
        <v>43967</v>
      </c>
      <c r="AF83" s="207">
        <v>4</v>
      </c>
      <c r="AG83" s="8"/>
    </row>
    <row r="84" spans="18:32" ht="12.75">
      <c r="R84" s="203">
        <v>2030</v>
      </c>
      <c r="S84" s="204">
        <f>IF(R84&gt;=(YEAR(datprizn)-1),1,ROUND($T$20/U84,4))</f>
        <v>1</v>
      </c>
      <c r="T84" s="320">
        <f>IF(ISBLANK('Důchodová a věková kalkulačka'!B102),0,CEILING(MIN('Důchodová a věková kalkulačka'!B102,AD84)*S84,1))</f>
        <v>0</v>
      </c>
      <c r="U84" s="323">
        <f>IF(ISBLANK(uzpred30),40638,uzpred30)</f>
        <v>40638</v>
      </c>
      <c r="V84" s="209">
        <f>IF(ISBLANK(uzpred30),1.0819,1.1085)</f>
        <v>1.0819</v>
      </c>
      <c r="W84" s="211">
        <f t="shared" si="5"/>
        <v>4400</v>
      </c>
      <c r="X84" s="206">
        <f t="shared" si="7"/>
        <v>19346</v>
      </c>
      <c r="Y84" s="206">
        <f t="shared" si="9"/>
        <v>175868</v>
      </c>
      <c r="Z84" s="206"/>
      <c r="AA84" s="206">
        <v>0.26</v>
      </c>
      <c r="AB84" s="206">
        <v>0</v>
      </c>
      <c r="AC84" s="206">
        <v>0</v>
      </c>
      <c r="AD84" s="212">
        <f>AE84*AF84*12</f>
        <v>2110416</v>
      </c>
      <c r="AE84" s="213">
        <f>MAX(CEILING(U82*V82,1),AE81)</f>
        <v>43967</v>
      </c>
      <c r="AF84" s="207">
        <v>4</v>
      </c>
    </row>
  </sheetData>
  <sheetProtection password="DA50" sheet="1"/>
  <mergeCells count="156">
    <mergeCell ref="B64:C64"/>
    <mergeCell ref="B65:C65"/>
    <mergeCell ref="M50:N50"/>
    <mergeCell ref="M51:N51"/>
    <mergeCell ref="I51:J51"/>
    <mergeCell ref="I52:J52"/>
    <mergeCell ref="I53:J53"/>
    <mergeCell ref="I54:J54"/>
    <mergeCell ref="I50:J50"/>
    <mergeCell ref="K51:L51"/>
    <mergeCell ref="K52:L52"/>
    <mergeCell ref="I57:J57"/>
    <mergeCell ref="M57:N57"/>
    <mergeCell ref="M52:N52"/>
    <mergeCell ref="M53:N53"/>
    <mergeCell ref="M54:N54"/>
    <mergeCell ref="M55:N55"/>
    <mergeCell ref="M56:N56"/>
    <mergeCell ref="K56:L56"/>
    <mergeCell ref="I55:J55"/>
    <mergeCell ref="M41:N42"/>
    <mergeCell ref="M43:N43"/>
    <mergeCell ref="I43:J43"/>
    <mergeCell ref="I44:J44"/>
    <mergeCell ref="I45:J45"/>
    <mergeCell ref="I46:J46"/>
    <mergeCell ref="K41:L42"/>
    <mergeCell ref="I41:J42"/>
    <mergeCell ref="K44:L44"/>
    <mergeCell ref="K45:L45"/>
    <mergeCell ref="I47:J47"/>
    <mergeCell ref="I48:J48"/>
    <mergeCell ref="I49:J49"/>
    <mergeCell ref="M48:N48"/>
    <mergeCell ref="M49:N49"/>
    <mergeCell ref="F60:G60"/>
    <mergeCell ref="K57:L57"/>
    <mergeCell ref="K53:L53"/>
    <mergeCell ref="K54:L54"/>
    <mergeCell ref="I56:J56"/>
    <mergeCell ref="F62:G62"/>
    <mergeCell ref="F53:G53"/>
    <mergeCell ref="F54:G54"/>
    <mergeCell ref="F55:G55"/>
    <mergeCell ref="F56:G56"/>
    <mergeCell ref="F57:G57"/>
    <mergeCell ref="F58:G58"/>
    <mergeCell ref="B53:C53"/>
    <mergeCell ref="K48:L48"/>
    <mergeCell ref="K49:L49"/>
    <mergeCell ref="K50:L50"/>
    <mergeCell ref="F59:G59"/>
    <mergeCell ref="D58:E58"/>
    <mergeCell ref="D49:E49"/>
    <mergeCell ref="D50:E50"/>
    <mergeCell ref="D51:E51"/>
    <mergeCell ref="K55:L55"/>
    <mergeCell ref="B51:C51"/>
    <mergeCell ref="B52:C52"/>
    <mergeCell ref="D53:E53"/>
    <mergeCell ref="B49:C49"/>
    <mergeCell ref="B59:C59"/>
    <mergeCell ref="B58:C58"/>
    <mergeCell ref="B55:C55"/>
    <mergeCell ref="B56:C56"/>
    <mergeCell ref="D52:E52"/>
    <mergeCell ref="B57:C57"/>
    <mergeCell ref="D48:E48"/>
    <mergeCell ref="F51:G51"/>
    <mergeCell ref="F52:G52"/>
    <mergeCell ref="F61:G61"/>
    <mergeCell ref="B62:C62"/>
    <mergeCell ref="F48:G48"/>
    <mergeCell ref="B60:C60"/>
    <mergeCell ref="B61:C61"/>
    <mergeCell ref="D59:E59"/>
    <mergeCell ref="D60:E60"/>
    <mergeCell ref="D62:E62"/>
    <mergeCell ref="D54:E54"/>
    <mergeCell ref="D55:E55"/>
    <mergeCell ref="D56:E56"/>
    <mergeCell ref="D57:E57"/>
    <mergeCell ref="D61:E61"/>
    <mergeCell ref="F50:G50"/>
    <mergeCell ref="D41:E42"/>
    <mergeCell ref="B47:C47"/>
    <mergeCell ref="B48:C48"/>
    <mergeCell ref="D44:E44"/>
    <mergeCell ref="D45:E45"/>
    <mergeCell ref="F41:G42"/>
    <mergeCell ref="F43:G43"/>
    <mergeCell ref="B50:C50"/>
    <mergeCell ref="D43:E43"/>
    <mergeCell ref="K47:L47"/>
    <mergeCell ref="H41:H42"/>
    <mergeCell ref="B54:C54"/>
    <mergeCell ref="K46:L46"/>
    <mergeCell ref="D46:E46"/>
    <mergeCell ref="F45:G45"/>
    <mergeCell ref="F46:G46"/>
    <mergeCell ref="K43:L43"/>
    <mergeCell ref="B43:C43"/>
    <mergeCell ref="F49:G49"/>
    <mergeCell ref="M44:N44"/>
    <mergeCell ref="M45:N45"/>
    <mergeCell ref="M46:N46"/>
    <mergeCell ref="M47:N47"/>
    <mergeCell ref="F44:G44"/>
    <mergeCell ref="B45:C45"/>
    <mergeCell ref="B46:C46"/>
    <mergeCell ref="F47:G47"/>
    <mergeCell ref="D47:E47"/>
    <mergeCell ref="B44:C44"/>
    <mergeCell ref="AF37:AF39"/>
    <mergeCell ref="AB37:AB39"/>
    <mergeCell ref="AC37:AC39"/>
    <mergeCell ref="AD37:AD39"/>
    <mergeCell ref="A41:A42"/>
    <mergeCell ref="B41:C42"/>
    <mergeCell ref="R37:R39"/>
    <mergeCell ref="Z37:Z39"/>
    <mergeCell ref="AA37:AA39"/>
    <mergeCell ref="AE37:AE39"/>
    <mergeCell ref="E4:F4"/>
    <mergeCell ref="E6:F6"/>
    <mergeCell ref="D26:F26"/>
    <mergeCell ref="D28:F28"/>
    <mergeCell ref="G26:H26"/>
    <mergeCell ref="G28:H28"/>
    <mergeCell ref="G31:I31"/>
    <mergeCell ref="G30:I30"/>
    <mergeCell ref="G32:I32"/>
    <mergeCell ref="Y37:Y39"/>
    <mergeCell ref="X37:X39"/>
    <mergeCell ref="W37:W39"/>
    <mergeCell ref="V37:V39"/>
    <mergeCell ref="U37:U39"/>
    <mergeCell ref="T37:T39"/>
    <mergeCell ref="S37:S39"/>
    <mergeCell ref="M61:N61"/>
    <mergeCell ref="I58:J58"/>
    <mergeCell ref="K58:L58"/>
    <mergeCell ref="M58:N58"/>
    <mergeCell ref="I59:J59"/>
    <mergeCell ref="K59:L59"/>
    <mergeCell ref="M59:N59"/>
    <mergeCell ref="N1:O1"/>
    <mergeCell ref="A1:M1"/>
    <mergeCell ref="I62:J62"/>
    <mergeCell ref="K62:L62"/>
    <mergeCell ref="M62:N62"/>
    <mergeCell ref="I60:J60"/>
    <mergeCell ref="K60:L60"/>
    <mergeCell ref="M60:N60"/>
    <mergeCell ref="I61:J61"/>
    <mergeCell ref="K61:L61"/>
  </mergeCells>
  <conditionalFormatting sqref="S22">
    <cfRule type="expression" priority="66" dxfId="35" stopIfTrue="1">
      <formula>$F$6=2011</formula>
    </cfRule>
    <cfRule type="expression" priority="67" dxfId="108" stopIfTrue="1">
      <formula>$F$6&lt;&gt;2011</formula>
    </cfRule>
  </conditionalFormatting>
  <conditionalFormatting sqref="AE62:AF68 AF69 AE69:AE76">
    <cfRule type="expression" priority="21" dxfId="16" stopIfTrue="1">
      <formula>RP&lt;1996</formula>
    </cfRule>
  </conditionalFormatting>
  <conditionalFormatting sqref="AE73:AE77">
    <cfRule type="expression" priority="20" dxfId="16" stopIfTrue="1">
      <formula>OR($H73&gt;RP,$H73=0)</formula>
    </cfRule>
  </conditionalFormatting>
  <conditionalFormatting sqref="AE62:AF68 AF69 AE69:AE72">
    <cfRule type="expression" priority="70" dxfId="16" stopIfTrue="1">
      <formula>OR('Základní varianta - podrobnosti'!#REF!&gt;RP,'Základní varianta - podrobnosti'!#REF!=0)</formula>
    </cfRule>
  </conditionalFormatting>
  <conditionalFormatting sqref="R12:R20 Z12:AI12 X12 X13:AI20">
    <cfRule type="expression" priority="79" dxfId="99">
      <formula>YEAR($K$10)&gt;1974</formula>
    </cfRule>
  </conditionalFormatting>
  <conditionalFormatting sqref="AE78">
    <cfRule type="expression" priority="14" dxfId="16" stopIfTrue="1">
      <formula>RP&lt;1996</formula>
    </cfRule>
  </conditionalFormatting>
  <conditionalFormatting sqref="AE78">
    <cfRule type="expression" priority="13" dxfId="16" stopIfTrue="1">
      <formula>OR($H78&gt;RP,$H78=0)</formula>
    </cfRule>
  </conditionalFormatting>
  <conditionalFormatting sqref="AE79">
    <cfRule type="expression" priority="12" dxfId="16" stopIfTrue="1">
      <formula>RP&lt;1996</formula>
    </cfRule>
  </conditionalFormatting>
  <conditionalFormatting sqref="AE79">
    <cfRule type="expression" priority="11" dxfId="16" stopIfTrue="1">
      <formula>OR($H79&gt;RP,$H79=0)</formula>
    </cfRule>
  </conditionalFormatting>
  <conditionalFormatting sqref="AE80">
    <cfRule type="expression" priority="10" dxfId="16" stopIfTrue="1">
      <formula>RP&lt;1996</formula>
    </cfRule>
  </conditionalFormatting>
  <conditionalFormatting sqref="AE80">
    <cfRule type="expression" priority="9" dxfId="16" stopIfTrue="1">
      <formula>OR($H80&gt;RP,$H80=0)</formula>
    </cfRule>
  </conditionalFormatting>
  <conditionalFormatting sqref="AE81">
    <cfRule type="expression" priority="8" dxfId="16" stopIfTrue="1">
      <formula>RP&lt;1996</formula>
    </cfRule>
  </conditionalFormatting>
  <conditionalFormatting sqref="AE81">
    <cfRule type="expression" priority="7" dxfId="16" stopIfTrue="1">
      <formula>OR($H81&gt;RP,$H81=0)</formula>
    </cfRule>
  </conditionalFormatting>
  <conditionalFormatting sqref="AE82">
    <cfRule type="expression" priority="6" dxfId="16" stopIfTrue="1">
      <formula>RP&lt;1996</formula>
    </cfRule>
  </conditionalFormatting>
  <conditionalFormatting sqref="AE82">
    <cfRule type="expression" priority="5" dxfId="16" stopIfTrue="1">
      <formula>OR($H82&gt;RP,$H82=0)</formula>
    </cfRule>
  </conditionalFormatting>
  <conditionalFormatting sqref="AE83">
    <cfRule type="expression" priority="4" dxfId="16" stopIfTrue="1">
      <formula>RP&lt;1996</formula>
    </cfRule>
  </conditionalFormatting>
  <conditionalFormatting sqref="AE83">
    <cfRule type="expression" priority="3" dxfId="16" stopIfTrue="1">
      <formula>OR($H83&gt;RP,$H83=0)</formula>
    </cfRule>
  </conditionalFormatting>
  <conditionalFormatting sqref="AE84">
    <cfRule type="expression" priority="2" dxfId="16" stopIfTrue="1">
      <formula>RP&lt;1996</formula>
    </cfRule>
  </conditionalFormatting>
  <conditionalFormatting sqref="AE84">
    <cfRule type="expression" priority="1" dxfId="16" stopIfTrue="1">
      <formula>OR($H84&gt;RP,$H84=0)</formula>
    </cfRule>
  </conditionalFormatting>
  <dataValidations count="3">
    <dataValidation type="whole" allowBlank="1" showInputMessage="1" showErrorMessage="1" errorTitle="Pozor" error="Lze zadat pouze celé číslo od 0 do 366." sqref="D43:D62 K43:K56 K58:L60 K61:K62">
      <formula1>0</formula1>
      <formula2>366</formula2>
    </dataValidation>
    <dataValidation allowBlank="1" sqref="B43:C62"/>
    <dataValidation type="decimal" allowBlank="1" showInputMessage="1" showErrorMessage="1" errorTitle="Pozor" error="Lze zadat pouze celé číslo od 0 do 366." sqref="K57:L57">
      <formula1>0</formula1>
      <formula2>366</formula2>
    </dataValidation>
  </dataValidation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R46"/>
  <sheetViews>
    <sheetView showGridLines="0" zoomScalePageLayoutView="0" workbookViewId="0" topLeftCell="A10">
      <selection activeCell="P33" sqref="P33"/>
    </sheetView>
  </sheetViews>
  <sheetFormatPr defaultColWidth="9.140625" defaultRowHeight="12.75"/>
  <cols>
    <col min="1" max="1" width="11.140625" style="0" bestFit="1" customWidth="1"/>
    <col min="2" max="3" width="3.00390625" style="0" bestFit="1" customWidth="1"/>
    <col min="4" max="4" width="5.140625" style="0" customWidth="1"/>
    <col min="5" max="6" width="3.00390625" style="0" customWidth="1"/>
    <col min="7" max="13" width="3.00390625" style="0" bestFit="1" customWidth="1"/>
    <col min="17" max="17" width="21.140625" style="0" customWidth="1"/>
    <col min="18" max="18" width="20.57421875" style="0" bestFit="1" customWidth="1"/>
  </cols>
  <sheetData>
    <row r="1" spans="1:18" ht="12.75">
      <c r="A1" s="534" t="s">
        <v>2</v>
      </c>
      <c r="B1" s="535"/>
      <c r="C1" s="535"/>
      <c r="D1" s="535"/>
      <c r="E1" s="535"/>
      <c r="F1" s="535"/>
      <c r="G1" s="535"/>
      <c r="H1" s="535"/>
      <c r="I1" s="535"/>
      <c r="J1" s="535"/>
      <c r="K1" s="535"/>
      <c r="L1" s="535"/>
      <c r="M1" s="536"/>
      <c r="Q1" s="532" t="s">
        <v>49</v>
      </c>
      <c r="R1" s="532"/>
    </row>
    <row r="2" spans="1:18" ht="12.75" customHeight="1">
      <c r="A2" s="533" t="s">
        <v>3</v>
      </c>
      <c r="B2" s="533" t="s">
        <v>4</v>
      </c>
      <c r="C2" s="533"/>
      <c r="D2" s="539" t="s">
        <v>5</v>
      </c>
      <c r="E2" s="540"/>
      <c r="F2" s="540"/>
      <c r="G2" s="540"/>
      <c r="H2" s="540"/>
      <c r="I2" s="540"/>
      <c r="J2" s="540"/>
      <c r="K2" s="540"/>
      <c r="L2" s="540"/>
      <c r="M2" s="541"/>
      <c r="Q2" s="32" t="s">
        <v>47</v>
      </c>
      <c r="R2" s="32" t="s">
        <v>48</v>
      </c>
    </row>
    <row r="3" spans="1:18" ht="12.75">
      <c r="A3" s="533"/>
      <c r="B3" s="533"/>
      <c r="C3" s="533"/>
      <c r="D3" s="533">
        <v>0</v>
      </c>
      <c r="E3" s="533"/>
      <c r="F3" s="537">
        <v>1</v>
      </c>
      <c r="G3" s="538"/>
      <c r="H3" s="537">
        <v>2</v>
      </c>
      <c r="I3" s="538"/>
      <c r="J3" s="537">
        <v>3.4</v>
      </c>
      <c r="K3" s="538"/>
      <c r="L3" s="537">
        <v>5</v>
      </c>
      <c r="M3" s="538"/>
      <c r="Q3" s="32">
        <v>2009</v>
      </c>
      <c r="R3" s="32">
        <v>25</v>
      </c>
    </row>
    <row r="4" spans="1:18" ht="12.75">
      <c r="A4" s="3">
        <v>1935</v>
      </c>
      <c r="B4" s="2">
        <v>60</v>
      </c>
      <c r="C4" s="2">
        <v>0</v>
      </c>
      <c r="D4" s="2">
        <v>57</v>
      </c>
      <c r="E4" s="2">
        <v>0</v>
      </c>
      <c r="F4" s="2">
        <v>56</v>
      </c>
      <c r="G4" s="2">
        <v>0</v>
      </c>
      <c r="H4" s="2">
        <v>55</v>
      </c>
      <c r="I4" s="2">
        <v>0</v>
      </c>
      <c r="J4" s="2">
        <v>54</v>
      </c>
      <c r="K4" s="2">
        <v>0</v>
      </c>
      <c r="L4" s="2">
        <v>53</v>
      </c>
      <c r="M4" s="2">
        <v>0</v>
      </c>
      <c r="Q4" s="32">
        <v>2010</v>
      </c>
      <c r="R4" s="32">
        <v>26</v>
      </c>
    </row>
    <row r="5" spans="1:18" ht="12.75">
      <c r="A5" s="3">
        <v>1936</v>
      </c>
      <c r="B5" s="2">
        <v>60</v>
      </c>
      <c r="C5" s="2">
        <v>2</v>
      </c>
      <c r="D5" s="2">
        <v>57</v>
      </c>
      <c r="E5" s="2">
        <v>0</v>
      </c>
      <c r="F5" s="2">
        <v>56</v>
      </c>
      <c r="G5" s="2">
        <v>0</v>
      </c>
      <c r="H5" s="2">
        <v>55</v>
      </c>
      <c r="I5" s="2">
        <v>0</v>
      </c>
      <c r="J5" s="2">
        <v>54</v>
      </c>
      <c r="K5" s="2">
        <v>0</v>
      </c>
      <c r="L5" s="2">
        <v>53</v>
      </c>
      <c r="M5" s="2">
        <v>0</v>
      </c>
      <c r="Q5" s="32">
        <v>2011</v>
      </c>
      <c r="R5" s="32">
        <v>27</v>
      </c>
    </row>
    <row r="6" spans="1:18" ht="12.75">
      <c r="A6" s="3">
        <v>1937</v>
      </c>
      <c r="B6" s="2">
        <v>60</v>
      </c>
      <c r="C6" s="2">
        <v>4</v>
      </c>
      <c r="D6" s="2">
        <v>57</v>
      </c>
      <c r="E6" s="2">
        <v>0</v>
      </c>
      <c r="F6" s="2">
        <v>56</v>
      </c>
      <c r="G6" s="2">
        <v>0</v>
      </c>
      <c r="H6" s="2">
        <v>55</v>
      </c>
      <c r="I6" s="2">
        <v>0</v>
      </c>
      <c r="J6" s="2">
        <v>54</v>
      </c>
      <c r="K6" s="2">
        <v>0</v>
      </c>
      <c r="L6" s="2">
        <v>53</v>
      </c>
      <c r="M6" s="2">
        <v>0</v>
      </c>
      <c r="Q6" s="32">
        <v>2012</v>
      </c>
      <c r="R6" s="32">
        <v>28</v>
      </c>
    </row>
    <row r="7" spans="1:18" ht="12.75">
      <c r="A7" s="3">
        <v>1938</v>
      </c>
      <c r="B7" s="2">
        <v>60</v>
      </c>
      <c r="C7" s="2">
        <v>6</v>
      </c>
      <c r="D7" s="2">
        <v>57</v>
      </c>
      <c r="E7" s="2">
        <v>0</v>
      </c>
      <c r="F7" s="2">
        <v>56</v>
      </c>
      <c r="G7" s="2">
        <v>0</v>
      </c>
      <c r="H7" s="2">
        <v>55</v>
      </c>
      <c r="I7" s="2">
        <v>0</v>
      </c>
      <c r="J7" s="2">
        <v>54</v>
      </c>
      <c r="K7" s="2">
        <v>0</v>
      </c>
      <c r="L7" s="2">
        <v>53</v>
      </c>
      <c r="M7" s="2">
        <v>0</v>
      </c>
      <c r="Q7" s="32">
        <v>2013</v>
      </c>
      <c r="R7" s="32">
        <v>29</v>
      </c>
    </row>
    <row r="8" spans="1:18" ht="12.75">
      <c r="A8" s="3">
        <v>1939</v>
      </c>
      <c r="B8" s="2">
        <v>60</v>
      </c>
      <c r="C8" s="2">
        <v>8</v>
      </c>
      <c r="D8" s="2">
        <v>57</v>
      </c>
      <c r="E8" s="2">
        <v>4</v>
      </c>
      <c r="F8" s="2">
        <v>56</v>
      </c>
      <c r="G8" s="2">
        <v>0</v>
      </c>
      <c r="H8" s="2">
        <v>55</v>
      </c>
      <c r="I8" s="2">
        <v>0</v>
      </c>
      <c r="J8" s="2">
        <v>54</v>
      </c>
      <c r="K8" s="2">
        <v>0</v>
      </c>
      <c r="L8" s="2">
        <v>53</v>
      </c>
      <c r="M8" s="2">
        <v>0</v>
      </c>
      <c r="Q8" s="32">
        <v>2014</v>
      </c>
      <c r="R8" s="32">
        <v>30</v>
      </c>
    </row>
    <row r="9" spans="1:18" ht="12.75">
      <c r="A9" s="3">
        <v>1940</v>
      </c>
      <c r="B9" s="2">
        <v>60</v>
      </c>
      <c r="C9" s="2">
        <v>10</v>
      </c>
      <c r="D9" s="2">
        <v>57</v>
      </c>
      <c r="E9" s="2">
        <v>8</v>
      </c>
      <c r="F9" s="2">
        <v>56</v>
      </c>
      <c r="G9" s="2">
        <v>4</v>
      </c>
      <c r="H9" s="2">
        <v>55</v>
      </c>
      <c r="I9" s="2">
        <v>0</v>
      </c>
      <c r="J9" s="2">
        <v>54</v>
      </c>
      <c r="K9" s="2">
        <v>0</v>
      </c>
      <c r="L9" s="2">
        <v>53</v>
      </c>
      <c r="M9" s="2">
        <v>0</v>
      </c>
      <c r="Q9" s="32">
        <v>2015</v>
      </c>
      <c r="R9" s="32">
        <v>31</v>
      </c>
    </row>
    <row r="10" spans="1:18" ht="12.75">
      <c r="A10" s="3">
        <v>1941</v>
      </c>
      <c r="B10" s="2">
        <v>61</v>
      </c>
      <c r="C10" s="2">
        <v>0</v>
      </c>
      <c r="D10" s="2">
        <v>58</v>
      </c>
      <c r="E10" s="2">
        <v>0</v>
      </c>
      <c r="F10" s="2">
        <v>56</v>
      </c>
      <c r="G10" s="2">
        <v>8</v>
      </c>
      <c r="H10" s="2">
        <v>55</v>
      </c>
      <c r="I10" s="2">
        <v>4</v>
      </c>
      <c r="J10" s="2">
        <v>54</v>
      </c>
      <c r="K10" s="2">
        <v>0</v>
      </c>
      <c r="L10" s="2">
        <v>53</v>
      </c>
      <c r="M10" s="2">
        <v>0</v>
      </c>
      <c r="Q10" s="32">
        <v>2016</v>
      </c>
      <c r="R10" s="32">
        <v>32</v>
      </c>
    </row>
    <row r="11" spans="1:18" ht="12.75">
      <c r="A11" s="3">
        <v>1942</v>
      </c>
      <c r="B11" s="2">
        <v>61</v>
      </c>
      <c r="C11" s="2">
        <v>2</v>
      </c>
      <c r="D11" s="2">
        <v>58</v>
      </c>
      <c r="E11" s="2">
        <v>4</v>
      </c>
      <c r="F11" s="2">
        <v>57</v>
      </c>
      <c r="G11" s="2">
        <v>0</v>
      </c>
      <c r="H11" s="2">
        <v>55</v>
      </c>
      <c r="I11" s="2">
        <v>8</v>
      </c>
      <c r="J11" s="2">
        <v>54</v>
      </c>
      <c r="K11" s="2">
        <v>4</v>
      </c>
      <c r="L11" s="2">
        <v>53</v>
      </c>
      <c r="M11" s="2">
        <v>0</v>
      </c>
      <c r="Q11" s="32">
        <v>2017</v>
      </c>
      <c r="R11" s="32">
        <v>33</v>
      </c>
    </row>
    <row r="12" spans="1:18" ht="12.75">
      <c r="A12" s="3">
        <v>1943</v>
      </c>
      <c r="B12" s="2">
        <v>61</v>
      </c>
      <c r="C12" s="2">
        <v>4</v>
      </c>
      <c r="D12" s="2">
        <v>58</v>
      </c>
      <c r="E12" s="2">
        <v>8</v>
      </c>
      <c r="F12" s="2">
        <v>57</v>
      </c>
      <c r="G12" s="2">
        <v>4</v>
      </c>
      <c r="H12" s="2">
        <v>56</v>
      </c>
      <c r="I12" s="2">
        <v>0</v>
      </c>
      <c r="J12" s="2">
        <v>54</v>
      </c>
      <c r="K12" s="2">
        <v>8</v>
      </c>
      <c r="L12" s="2">
        <v>53</v>
      </c>
      <c r="M12" s="2">
        <v>4</v>
      </c>
      <c r="Q12" s="32">
        <v>2018</v>
      </c>
      <c r="R12" s="32">
        <v>34</v>
      </c>
    </row>
    <row r="13" spans="1:18" ht="12.75">
      <c r="A13" s="3">
        <v>1944</v>
      </c>
      <c r="B13" s="2">
        <v>61</v>
      </c>
      <c r="C13" s="2">
        <v>6</v>
      </c>
      <c r="D13" s="2">
        <v>59</v>
      </c>
      <c r="E13" s="2">
        <v>0</v>
      </c>
      <c r="F13" s="2">
        <v>57</v>
      </c>
      <c r="G13" s="2">
        <v>8</v>
      </c>
      <c r="H13" s="2">
        <v>56</v>
      </c>
      <c r="I13" s="2">
        <v>4</v>
      </c>
      <c r="J13" s="2">
        <v>55</v>
      </c>
      <c r="K13" s="2">
        <v>0</v>
      </c>
      <c r="L13" s="2">
        <v>53</v>
      </c>
      <c r="M13" s="2">
        <v>8</v>
      </c>
      <c r="Q13" s="32">
        <v>2019</v>
      </c>
      <c r="R13" s="32">
        <v>35</v>
      </c>
    </row>
    <row r="14" spans="1:13" ht="12.75">
      <c r="A14" s="3">
        <v>1945</v>
      </c>
      <c r="B14" s="2">
        <v>61</v>
      </c>
      <c r="C14" s="2">
        <v>8</v>
      </c>
      <c r="D14" s="2">
        <v>59</v>
      </c>
      <c r="E14" s="2">
        <v>4</v>
      </c>
      <c r="F14" s="2">
        <v>58</v>
      </c>
      <c r="G14" s="2">
        <v>0</v>
      </c>
      <c r="H14" s="2">
        <v>56</v>
      </c>
      <c r="I14" s="2">
        <v>8</v>
      </c>
      <c r="J14" s="2">
        <v>55</v>
      </c>
      <c r="K14" s="2">
        <v>4</v>
      </c>
      <c r="L14" s="2">
        <v>54</v>
      </c>
      <c r="M14" s="2">
        <v>0</v>
      </c>
    </row>
    <row r="15" spans="1:13" ht="12.75">
      <c r="A15" s="3">
        <v>1946</v>
      </c>
      <c r="B15" s="2">
        <v>61</v>
      </c>
      <c r="C15" s="2">
        <v>10</v>
      </c>
      <c r="D15" s="2">
        <v>59</v>
      </c>
      <c r="E15" s="2">
        <v>8</v>
      </c>
      <c r="F15" s="2">
        <v>58</v>
      </c>
      <c r="G15" s="2">
        <v>4</v>
      </c>
      <c r="H15" s="2">
        <v>57</v>
      </c>
      <c r="I15" s="2">
        <v>0</v>
      </c>
      <c r="J15" s="2">
        <v>55</v>
      </c>
      <c r="K15" s="2">
        <v>8</v>
      </c>
      <c r="L15" s="2">
        <v>54</v>
      </c>
      <c r="M15" s="2">
        <v>4</v>
      </c>
    </row>
    <row r="16" spans="1:13" ht="12.75">
      <c r="A16" s="3">
        <v>1947</v>
      </c>
      <c r="B16" s="2">
        <v>62</v>
      </c>
      <c r="C16" s="2">
        <v>0</v>
      </c>
      <c r="D16" s="2">
        <v>60</v>
      </c>
      <c r="E16" s="2">
        <v>0</v>
      </c>
      <c r="F16" s="2">
        <v>58</v>
      </c>
      <c r="G16" s="2">
        <v>8</v>
      </c>
      <c r="H16" s="2">
        <v>57</v>
      </c>
      <c r="I16" s="2">
        <v>4</v>
      </c>
      <c r="J16" s="2">
        <v>56</v>
      </c>
      <c r="K16" s="2">
        <v>0</v>
      </c>
      <c r="L16" s="2">
        <v>54</v>
      </c>
      <c r="M16" s="2">
        <v>8</v>
      </c>
    </row>
    <row r="17" spans="1:13" ht="12.75">
      <c r="A17" s="3">
        <v>1948</v>
      </c>
      <c r="B17" s="2">
        <v>62</v>
      </c>
      <c r="C17" s="2">
        <v>2</v>
      </c>
      <c r="D17" s="2">
        <v>60</v>
      </c>
      <c r="E17" s="2">
        <v>4</v>
      </c>
      <c r="F17" s="2">
        <v>59</v>
      </c>
      <c r="G17" s="2">
        <v>0</v>
      </c>
      <c r="H17" s="2">
        <v>57</v>
      </c>
      <c r="I17" s="2">
        <v>8</v>
      </c>
      <c r="J17" s="2">
        <v>56</v>
      </c>
      <c r="K17" s="2">
        <v>4</v>
      </c>
      <c r="L17" s="2">
        <v>55</v>
      </c>
      <c r="M17" s="2">
        <v>0</v>
      </c>
    </row>
    <row r="18" spans="1:13" ht="12.75">
      <c r="A18" s="3">
        <v>1949</v>
      </c>
      <c r="B18" s="2">
        <v>62</v>
      </c>
      <c r="C18" s="2">
        <v>4</v>
      </c>
      <c r="D18" s="2">
        <v>60</v>
      </c>
      <c r="E18" s="2">
        <v>8</v>
      </c>
      <c r="F18" s="2">
        <v>59</v>
      </c>
      <c r="G18" s="2">
        <v>4</v>
      </c>
      <c r="H18" s="2">
        <v>58</v>
      </c>
      <c r="I18" s="2">
        <v>0</v>
      </c>
      <c r="J18" s="2">
        <v>56</v>
      </c>
      <c r="K18" s="2">
        <v>8</v>
      </c>
      <c r="L18" s="2">
        <v>55</v>
      </c>
      <c r="M18" s="2">
        <v>4</v>
      </c>
    </row>
    <row r="19" spans="1:13" ht="12.75">
      <c r="A19" s="3">
        <v>1950</v>
      </c>
      <c r="B19" s="2">
        <v>62</v>
      </c>
      <c r="C19" s="2">
        <v>6</v>
      </c>
      <c r="D19" s="2">
        <v>61</v>
      </c>
      <c r="E19" s="2">
        <v>0</v>
      </c>
      <c r="F19" s="2">
        <v>59</v>
      </c>
      <c r="G19" s="2">
        <v>8</v>
      </c>
      <c r="H19" s="2">
        <v>58</v>
      </c>
      <c r="I19" s="2">
        <v>4</v>
      </c>
      <c r="J19" s="2">
        <v>57</v>
      </c>
      <c r="K19" s="2">
        <v>0</v>
      </c>
      <c r="L19" s="2">
        <v>55</v>
      </c>
      <c r="M19" s="2">
        <v>8</v>
      </c>
    </row>
    <row r="20" spans="1:13" ht="12.75">
      <c r="A20" s="3">
        <v>1951</v>
      </c>
      <c r="B20" s="2">
        <v>62</v>
      </c>
      <c r="C20" s="2">
        <v>8</v>
      </c>
      <c r="D20" s="2">
        <v>61</v>
      </c>
      <c r="E20" s="2">
        <v>4</v>
      </c>
      <c r="F20" s="2">
        <v>60</v>
      </c>
      <c r="G20" s="2">
        <v>0</v>
      </c>
      <c r="H20" s="2">
        <v>58</v>
      </c>
      <c r="I20" s="2">
        <v>8</v>
      </c>
      <c r="J20" s="2">
        <v>57</v>
      </c>
      <c r="K20" s="2">
        <v>4</v>
      </c>
      <c r="L20" s="2">
        <v>56</v>
      </c>
      <c r="M20" s="2">
        <v>0</v>
      </c>
    </row>
    <row r="21" spans="1:13" ht="12.75">
      <c r="A21" s="3">
        <v>1952</v>
      </c>
      <c r="B21" s="2">
        <v>62</v>
      </c>
      <c r="C21" s="2">
        <v>10</v>
      </c>
      <c r="D21" s="2">
        <v>61</v>
      </c>
      <c r="E21" s="2">
        <v>8</v>
      </c>
      <c r="F21" s="2">
        <v>60</v>
      </c>
      <c r="G21" s="2">
        <v>4</v>
      </c>
      <c r="H21" s="2">
        <v>59</v>
      </c>
      <c r="I21" s="2">
        <v>0</v>
      </c>
      <c r="J21" s="2">
        <v>57</v>
      </c>
      <c r="K21" s="2">
        <v>8</v>
      </c>
      <c r="L21" s="2">
        <v>56</v>
      </c>
      <c r="M21" s="2">
        <v>4</v>
      </c>
    </row>
    <row r="22" spans="1:13" ht="12.75">
      <c r="A22" s="3">
        <v>1953</v>
      </c>
      <c r="B22" s="2">
        <v>63</v>
      </c>
      <c r="C22" s="2">
        <v>0</v>
      </c>
      <c r="D22" s="2">
        <v>62</v>
      </c>
      <c r="E22" s="2">
        <v>0</v>
      </c>
      <c r="F22" s="2">
        <v>60</v>
      </c>
      <c r="G22" s="2">
        <v>8</v>
      </c>
      <c r="H22" s="2">
        <v>59</v>
      </c>
      <c r="I22" s="2">
        <v>4</v>
      </c>
      <c r="J22" s="2">
        <v>58</v>
      </c>
      <c r="K22" s="2">
        <v>0</v>
      </c>
      <c r="L22" s="2">
        <v>56</v>
      </c>
      <c r="M22" s="2">
        <v>8</v>
      </c>
    </row>
    <row r="23" spans="1:13" ht="12.75">
      <c r="A23" s="3">
        <v>1954</v>
      </c>
      <c r="B23" s="2">
        <v>63</v>
      </c>
      <c r="C23" s="2">
        <v>2</v>
      </c>
      <c r="D23" s="2">
        <v>62</v>
      </c>
      <c r="E23" s="2">
        <v>4</v>
      </c>
      <c r="F23" s="2">
        <v>61</v>
      </c>
      <c r="G23" s="2">
        <v>0</v>
      </c>
      <c r="H23" s="2">
        <v>59</v>
      </c>
      <c r="I23" s="2">
        <v>8</v>
      </c>
      <c r="J23" s="2">
        <v>58</v>
      </c>
      <c r="K23" s="2">
        <v>4</v>
      </c>
      <c r="L23" s="2">
        <v>57</v>
      </c>
      <c r="M23" s="2">
        <v>0</v>
      </c>
    </row>
    <row r="24" spans="1:13" ht="12.75">
      <c r="A24" s="3">
        <v>1955</v>
      </c>
      <c r="B24" s="2">
        <v>63</v>
      </c>
      <c r="C24" s="2">
        <v>4</v>
      </c>
      <c r="D24" s="2">
        <v>62</v>
      </c>
      <c r="E24" s="2">
        <v>8</v>
      </c>
      <c r="F24" s="2">
        <v>61</v>
      </c>
      <c r="G24" s="2">
        <v>4</v>
      </c>
      <c r="H24" s="2">
        <v>60</v>
      </c>
      <c r="I24" s="2">
        <v>0</v>
      </c>
      <c r="J24" s="2">
        <v>58</v>
      </c>
      <c r="K24" s="2">
        <v>8</v>
      </c>
      <c r="L24" s="2">
        <v>57</v>
      </c>
      <c r="M24" s="2">
        <v>4</v>
      </c>
    </row>
    <row r="25" spans="1:13" ht="12.75">
      <c r="A25" s="3">
        <v>1956</v>
      </c>
      <c r="B25" s="2">
        <v>63</v>
      </c>
      <c r="C25" s="2">
        <v>6</v>
      </c>
      <c r="D25" s="2">
        <v>63</v>
      </c>
      <c r="E25" s="2">
        <v>2</v>
      </c>
      <c r="F25" s="2">
        <v>61</v>
      </c>
      <c r="G25" s="2">
        <v>8</v>
      </c>
      <c r="H25" s="2">
        <v>60</v>
      </c>
      <c r="I25" s="2">
        <v>4</v>
      </c>
      <c r="J25" s="2">
        <v>59</v>
      </c>
      <c r="K25" s="2">
        <v>0</v>
      </c>
      <c r="L25" s="2">
        <v>57</v>
      </c>
      <c r="M25" s="2">
        <v>8</v>
      </c>
    </row>
    <row r="26" spans="1:13" ht="12.75">
      <c r="A26" s="3">
        <v>1957</v>
      </c>
      <c r="B26" s="2">
        <v>63</v>
      </c>
      <c r="C26" s="2">
        <v>8</v>
      </c>
      <c r="D26" s="2">
        <v>63</v>
      </c>
      <c r="E26" s="2">
        <v>8</v>
      </c>
      <c r="F26" s="2">
        <v>62</v>
      </c>
      <c r="G26" s="2">
        <v>2</v>
      </c>
      <c r="H26" s="2">
        <v>60</v>
      </c>
      <c r="I26" s="2">
        <v>8</v>
      </c>
      <c r="J26" s="2">
        <v>59</v>
      </c>
      <c r="K26" s="2">
        <v>4</v>
      </c>
      <c r="L26" s="2">
        <v>58</v>
      </c>
      <c r="M26" s="2">
        <v>0</v>
      </c>
    </row>
    <row r="27" spans="1:13" ht="12.75">
      <c r="A27" s="3">
        <v>1958</v>
      </c>
      <c r="B27" s="2">
        <v>63</v>
      </c>
      <c r="C27" s="2">
        <v>10</v>
      </c>
      <c r="D27" s="2">
        <v>63</v>
      </c>
      <c r="E27" s="2">
        <v>10</v>
      </c>
      <c r="F27" s="2">
        <v>62</v>
      </c>
      <c r="G27" s="2">
        <v>8</v>
      </c>
      <c r="H27" s="2">
        <v>61</v>
      </c>
      <c r="I27" s="2">
        <v>2</v>
      </c>
      <c r="J27" s="2">
        <v>59</v>
      </c>
      <c r="K27" s="2">
        <v>8</v>
      </c>
      <c r="L27" s="2">
        <v>58</v>
      </c>
      <c r="M27" s="2">
        <v>4</v>
      </c>
    </row>
    <row r="28" spans="1:13" ht="12.75">
      <c r="A28" s="3">
        <v>1959</v>
      </c>
      <c r="B28" s="2">
        <v>64</v>
      </c>
      <c r="C28" s="2">
        <v>0</v>
      </c>
      <c r="D28" s="2">
        <v>64</v>
      </c>
      <c r="E28" s="2">
        <v>0</v>
      </c>
      <c r="F28" s="2">
        <v>63</v>
      </c>
      <c r="G28" s="2">
        <v>2</v>
      </c>
      <c r="H28" s="2">
        <v>61</v>
      </c>
      <c r="I28" s="2">
        <v>8</v>
      </c>
      <c r="J28" s="2">
        <v>60</v>
      </c>
      <c r="K28" s="2">
        <v>2</v>
      </c>
      <c r="L28" s="2">
        <v>58</v>
      </c>
      <c r="M28" s="2">
        <v>8</v>
      </c>
    </row>
    <row r="29" spans="1:13" ht="12.75">
      <c r="A29" s="3">
        <v>1960</v>
      </c>
      <c r="B29" s="2">
        <v>64</v>
      </c>
      <c r="C29" s="2">
        <v>2</v>
      </c>
      <c r="D29" s="2">
        <v>64</v>
      </c>
      <c r="E29" s="2">
        <v>2</v>
      </c>
      <c r="F29" s="2">
        <v>63</v>
      </c>
      <c r="G29" s="2">
        <v>8</v>
      </c>
      <c r="H29" s="2">
        <v>62</v>
      </c>
      <c r="I29" s="2">
        <v>2</v>
      </c>
      <c r="J29" s="2">
        <v>60</v>
      </c>
      <c r="K29" s="2">
        <v>8</v>
      </c>
      <c r="L29" s="2">
        <v>59</v>
      </c>
      <c r="M29" s="2">
        <v>2</v>
      </c>
    </row>
    <row r="30" spans="1:13" ht="12.75">
      <c r="A30" s="3">
        <v>1961</v>
      </c>
      <c r="B30" s="2">
        <v>64</v>
      </c>
      <c r="C30" s="2">
        <v>4</v>
      </c>
      <c r="D30" s="2">
        <v>64</v>
      </c>
      <c r="E30" s="2">
        <v>4</v>
      </c>
      <c r="F30" s="2">
        <v>64</v>
      </c>
      <c r="G30" s="2">
        <v>2</v>
      </c>
      <c r="H30" s="2">
        <v>62</v>
      </c>
      <c r="I30" s="2">
        <v>8</v>
      </c>
      <c r="J30" s="2">
        <v>61</v>
      </c>
      <c r="K30" s="2">
        <v>2</v>
      </c>
      <c r="L30" s="2">
        <v>59</v>
      </c>
      <c r="M30" s="2">
        <v>8</v>
      </c>
    </row>
    <row r="31" spans="1:13" ht="12.75">
      <c r="A31" s="3">
        <v>1962</v>
      </c>
      <c r="B31" s="2">
        <v>64</v>
      </c>
      <c r="C31" s="2">
        <v>6</v>
      </c>
      <c r="D31" s="2">
        <v>64</v>
      </c>
      <c r="E31" s="2">
        <v>6</v>
      </c>
      <c r="F31" s="2">
        <v>64</v>
      </c>
      <c r="G31" s="2">
        <v>6</v>
      </c>
      <c r="H31" s="2">
        <v>63</v>
      </c>
      <c r="I31" s="2">
        <v>2</v>
      </c>
      <c r="J31" s="2">
        <v>61</v>
      </c>
      <c r="K31" s="2">
        <v>8</v>
      </c>
      <c r="L31" s="2">
        <v>60</v>
      </c>
      <c r="M31" s="2">
        <v>2</v>
      </c>
    </row>
    <row r="32" spans="1:13" ht="12.75">
      <c r="A32" s="3">
        <v>1963</v>
      </c>
      <c r="B32" s="2">
        <v>64</v>
      </c>
      <c r="C32" s="2">
        <v>8</v>
      </c>
      <c r="D32" s="2">
        <v>64</v>
      </c>
      <c r="E32" s="2">
        <v>8</v>
      </c>
      <c r="F32" s="2">
        <v>64</v>
      </c>
      <c r="G32" s="2">
        <v>8</v>
      </c>
      <c r="H32" s="2">
        <v>63</v>
      </c>
      <c r="I32" s="2">
        <v>8</v>
      </c>
      <c r="J32" s="2">
        <v>62</v>
      </c>
      <c r="K32" s="2">
        <v>2</v>
      </c>
      <c r="L32" s="2">
        <v>60</v>
      </c>
      <c r="M32" s="2">
        <v>8</v>
      </c>
    </row>
    <row r="33" spans="1:13" ht="12.75">
      <c r="A33" s="3">
        <v>1964</v>
      </c>
      <c r="B33" s="2">
        <v>64</v>
      </c>
      <c r="C33" s="2">
        <v>10</v>
      </c>
      <c r="D33" s="2">
        <v>64</v>
      </c>
      <c r="E33" s="2">
        <v>10</v>
      </c>
      <c r="F33" s="2">
        <v>64</v>
      </c>
      <c r="G33" s="2">
        <v>10</v>
      </c>
      <c r="H33" s="2">
        <v>64</v>
      </c>
      <c r="I33" s="2">
        <v>2</v>
      </c>
      <c r="J33" s="2">
        <v>62</v>
      </c>
      <c r="K33" s="2">
        <v>8</v>
      </c>
      <c r="L33" s="2">
        <v>61</v>
      </c>
      <c r="M33" s="2">
        <v>2</v>
      </c>
    </row>
    <row r="34" spans="1:13" ht="12.75">
      <c r="A34" s="3">
        <v>1965</v>
      </c>
      <c r="B34" s="2">
        <v>65</v>
      </c>
      <c r="C34" s="2">
        <v>0</v>
      </c>
      <c r="D34" s="2">
        <v>65</v>
      </c>
      <c r="E34" s="2">
        <v>0</v>
      </c>
      <c r="F34" s="2">
        <v>65</v>
      </c>
      <c r="G34" s="2">
        <v>0</v>
      </c>
      <c r="H34" s="2">
        <v>64</v>
      </c>
      <c r="I34" s="2">
        <v>8</v>
      </c>
      <c r="J34" s="2">
        <v>63</v>
      </c>
      <c r="K34" s="2">
        <v>2</v>
      </c>
      <c r="L34" s="2">
        <v>61</v>
      </c>
      <c r="M34" s="2">
        <v>8</v>
      </c>
    </row>
    <row r="35" spans="1:13" ht="12.75">
      <c r="A35" s="3">
        <v>1966</v>
      </c>
      <c r="B35" s="2">
        <v>65</v>
      </c>
      <c r="C35" s="2">
        <v>0</v>
      </c>
      <c r="D35" s="2">
        <v>65</v>
      </c>
      <c r="E35" s="2">
        <v>0</v>
      </c>
      <c r="F35" s="2">
        <v>65</v>
      </c>
      <c r="G35" s="2">
        <v>0</v>
      </c>
      <c r="H35" s="2">
        <v>65</v>
      </c>
      <c r="I35" s="2">
        <v>0</v>
      </c>
      <c r="J35" s="2">
        <v>63</v>
      </c>
      <c r="K35" s="2">
        <v>8</v>
      </c>
      <c r="L35" s="2">
        <v>62</v>
      </c>
      <c r="M35" s="2">
        <v>2</v>
      </c>
    </row>
    <row r="36" spans="1:13" ht="12.75">
      <c r="A36" s="3">
        <v>1967</v>
      </c>
      <c r="B36" s="2">
        <v>65</v>
      </c>
      <c r="C36" s="2">
        <v>0</v>
      </c>
      <c r="D36" s="2">
        <v>65</v>
      </c>
      <c r="E36" s="2">
        <v>0</v>
      </c>
      <c r="F36" s="2">
        <v>65</v>
      </c>
      <c r="G36" s="2">
        <v>0</v>
      </c>
      <c r="H36" s="2">
        <v>65</v>
      </c>
      <c r="I36" s="2">
        <v>0</v>
      </c>
      <c r="J36" s="2">
        <v>64</v>
      </c>
      <c r="K36" s="2">
        <v>2</v>
      </c>
      <c r="L36" s="2">
        <v>62</v>
      </c>
      <c r="M36" s="2">
        <v>8</v>
      </c>
    </row>
    <row r="37" spans="1:13" ht="12.75">
      <c r="A37" s="3">
        <v>1968</v>
      </c>
      <c r="B37" s="2">
        <v>65</v>
      </c>
      <c r="C37" s="2">
        <v>0</v>
      </c>
      <c r="D37" s="2">
        <v>65</v>
      </c>
      <c r="E37" s="2">
        <v>0</v>
      </c>
      <c r="F37" s="2">
        <v>65</v>
      </c>
      <c r="G37" s="2">
        <v>0</v>
      </c>
      <c r="H37" s="2">
        <v>65</v>
      </c>
      <c r="I37" s="2">
        <v>0</v>
      </c>
      <c r="J37" s="2">
        <v>64</v>
      </c>
      <c r="K37" s="2">
        <v>8</v>
      </c>
      <c r="L37" s="2">
        <v>63</v>
      </c>
      <c r="M37" s="2">
        <v>2</v>
      </c>
    </row>
    <row r="38" spans="1:13" ht="12.75">
      <c r="A38" s="3">
        <v>1969</v>
      </c>
      <c r="B38" s="2">
        <v>65</v>
      </c>
      <c r="C38" s="2">
        <v>0</v>
      </c>
      <c r="D38" s="2">
        <v>65</v>
      </c>
      <c r="E38" s="2">
        <v>0</v>
      </c>
      <c r="F38" s="2">
        <v>65</v>
      </c>
      <c r="G38" s="2">
        <v>0</v>
      </c>
      <c r="H38" s="2">
        <v>65</v>
      </c>
      <c r="I38" s="2">
        <v>0</v>
      </c>
      <c r="J38" s="2">
        <v>65</v>
      </c>
      <c r="K38" s="2">
        <v>0</v>
      </c>
      <c r="L38" s="2">
        <v>63</v>
      </c>
      <c r="M38" s="2">
        <v>8</v>
      </c>
    </row>
    <row r="39" spans="1:13" ht="12.75">
      <c r="A39" s="3">
        <v>1970</v>
      </c>
      <c r="B39" s="2">
        <v>65</v>
      </c>
      <c r="C39" s="2">
        <v>0</v>
      </c>
      <c r="D39" s="2">
        <v>65</v>
      </c>
      <c r="E39" s="2">
        <v>0</v>
      </c>
      <c r="F39" s="2">
        <v>65</v>
      </c>
      <c r="G39" s="2">
        <v>0</v>
      </c>
      <c r="H39" s="2">
        <v>65</v>
      </c>
      <c r="I39" s="2">
        <v>0</v>
      </c>
      <c r="J39" s="2">
        <v>65</v>
      </c>
      <c r="K39" s="2">
        <v>0</v>
      </c>
      <c r="L39" s="2">
        <v>64</v>
      </c>
      <c r="M39" s="2">
        <v>2</v>
      </c>
    </row>
    <row r="40" spans="1:13" ht="12.75">
      <c r="A40" s="3">
        <v>1971</v>
      </c>
      <c r="B40" s="2">
        <v>65</v>
      </c>
      <c r="C40" s="2">
        <v>0</v>
      </c>
      <c r="D40" s="2">
        <v>65</v>
      </c>
      <c r="E40" s="2">
        <v>0</v>
      </c>
      <c r="F40" s="2">
        <v>65</v>
      </c>
      <c r="G40" s="2">
        <v>0</v>
      </c>
      <c r="H40" s="2">
        <v>65</v>
      </c>
      <c r="I40" s="2">
        <v>0</v>
      </c>
      <c r="J40" s="2">
        <v>65</v>
      </c>
      <c r="K40" s="2">
        <v>0</v>
      </c>
      <c r="L40" s="2">
        <v>64</v>
      </c>
      <c r="M40" s="2">
        <v>8</v>
      </c>
    </row>
    <row r="41" spans="1:13" ht="12.75">
      <c r="A41" s="3"/>
      <c r="B41" s="2"/>
      <c r="C41" s="2"/>
      <c r="D41" s="2"/>
      <c r="E41" s="2"/>
      <c r="F41" s="2"/>
      <c r="G41" s="2"/>
      <c r="H41" s="2"/>
      <c r="I41" s="2"/>
      <c r="J41" s="2"/>
      <c r="K41" s="2"/>
      <c r="L41" s="2"/>
      <c r="M41" s="2"/>
    </row>
    <row r="42" spans="1:13" ht="12.75">
      <c r="A42" s="3"/>
      <c r="B42" s="2"/>
      <c r="C42" s="2"/>
      <c r="D42" s="2"/>
      <c r="E42" s="2"/>
      <c r="F42" s="2"/>
      <c r="G42" s="2"/>
      <c r="H42" s="2"/>
      <c r="I42" s="2"/>
      <c r="J42" s="2"/>
      <c r="K42" s="2"/>
      <c r="L42" s="2"/>
      <c r="M42" s="2"/>
    </row>
    <row r="43" spans="1:13" ht="12.75">
      <c r="A43" s="3"/>
      <c r="B43" s="2"/>
      <c r="C43" s="2"/>
      <c r="D43" s="2"/>
      <c r="E43" s="2"/>
      <c r="F43" s="2"/>
      <c r="G43" s="2"/>
      <c r="H43" s="2"/>
      <c r="I43" s="2"/>
      <c r="J43" s="2"/>
      <c r="K43" s="2"/>
      <c r="L43" s="2"/>
      <c r="M43" s="2"/>
    </row>
    <row r="44" spans="1:13" ht="12.75">
      <c r="A44" s="3"/>
      <c r="B44" s="1"/>
      <c r="C44" s="1"/>
      <c r="D44" s="1"/>
      <c r="E44" s="1"/>
      <c r="F44" s="1"/>
      <c r="G44" s="1"/>
      <c r="H44" s="1"/>
      <c r="I44" s="1"/>
      <c r="J44" s="1"/>
      <c r="K44" s="1"/>
      <c r="L44" s="1"/>
      <c r="M44" s="1"/>
    </row>
    <row r="45" spans="1:13" ht="12.75">
      <c r="A45" s="3"/>
      <c r="B45" s="1"/>
      <c r="C45" s="1"/>
      <c r="D45" s="1"/>
      <c r="E45" s="1"/>
      <c r="F45" s="1"/>
      <c r="G45" s="1"/>
      <c r="H45" s="1"/>
      <c r="I45" s="1"/>
      <c r="J45" s="1"/>
      <c r="K45" s="1"/>
      <c r="L45" s="1"/>
      <c r="M45" s="1"/>
    </row>
    <row r="46" spans="1:13" ht="12.75">
      <c r="A46" s="4"/>
      <c r="B46" s="1"/>
      <c r="C46" s="1"/>
      <c r="D46" s="1"/>
      <c r="E46" s="1"/>
      <c r="F46" s="1"/>
      <c r="G46" s="1"/>
      <c r="H46" s="1"/>
      <c r="I46" s="1"/>
      <c r="J46" s="1"/>
      <c r="K46" s="1"/>
      <c r="L46" s="1"/>
      <c r="M46" s="1"/>
    </row>
  </sheetData>
  <sheetProtection/>
  <mergeCells count="10">
    <mergeCell ref="Q1:R1"/>
    <mergeCell ref="A2:A3"/>
    <mergeCell ref="A1:M1"/>
    <mergeCell ref="B2:C3"/>
    <mergeCell ref="D3:E3"/>
    <mergeCell ref="F3:G3"/>
    <mergeCell ref="H3:I3"/>
    <mergeCell ref="J3:K3"/>
    <mergeCell ref="L3:M3"/>
    <mergeCell ref="D2:M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0" width="9.140625" style="5" hidden="1" customWidth="1"/>
    <col min="31" max="32" width="9.140625" style="5" customWidth="1"/>
  </cols>
  <sheetData>
    <row r="1" spans="1:29" ht="13.5" thickBot="1">
      <c r="A1" s="448" t="s">
        <v>86</v>
      </c>
      <c r="B1" s="448"/>
      <c r="C1" s="448"/>
      <c r="D1" s="448"/>
      <c r="E1" s="448"/>
      <c r="F1" s="448"/>
      <c r="G1" s="448"/>
      <c r="H1" s="448"/>
      <c r="I1" s="448"/>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5" t="str">
        <f>narokst</f>
        <v> </v>
      </c>
      <c r="D4" s="546"/>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5" t="str">
        <f>IF(ISBLANK(datprizn)," ",datprizn)</f>
        <v> </v>
      </c>
      <c r="D6" s="546"/>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IF(ISBLANK(datprizn),0,CEILING(vypoctzaklmin*procvym1,1))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IF(ISBLANK(datprizn),0,CEILING(vypoctzaklmin*procvym2,1))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IF(ISBLANK(datprizn),0,-FLOOR(-vypoctzaklmin*procvym3,1))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IF(ovzmin&lt;=VLOOKUP(YEAR(datprizn),O40:Z83,7),ovzmin,VLOOKUP(YEAR(datprizn),O40:Z83,7)+(MIN(ovzmin,VLOOKUP(YEAR(datprizn),O40:Z83,8))-VLOOKUP(YEAR(datprizn),O40:Z83,7))*VLOOKUP(YEAR(datprizn),O40:Z83,10))</f>
        <v>#REF!</v>
      </c>
      <c r="S16" s="121" t="e">
        <f>IF(OR(ovzmin&lt;=VLOOKUP(YEAR(datprizn),O40:Z83,8),YEAR(datprizn)&gt;2014),0,IF(USS=0,(ovzmin-VLOOKUP(YEAR(datprizn),O40:Z83,8))*VLOOKUP(YEAR(datprizn),O40:Z83,11),(MIN(ovzmin,VLOOKUP(YEAR(datprizn),O40:Z83,9))-VLOOKUP(YEAR(datprizn),O40:Z83,8))*VLOOKUP(YEAR(datprizn),O40:Z83,11)+IF(ovzmin&gt;VLOOKUP(YEAR(datprizn),O40:Z83,9),(ovzmin-VLOOKUP(YEAR(datprizn),O40:Z83,9))*VLOOKUP(YEAR(datprizn),O40:Z83,12),0)))</f>
        <v>#REF!</v>
      </c>
      <c r="T16" s="121" t="e">
        <f>CEILING(R16+S16,1)</f>
        <v>#REF!</v>
      </c>
      <c r="U16" s="11"/>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IF(ISBLANK(datprizn),0,VLOOKUP(YEAR(datprizn),'Minimalistická varianta'!O40:T83,6))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L18+L16</f>
        <v>0</v>
      </c>
      <c r="M20" s="59" t="s">
        <v>56</v>
      </c>
      <c r="O20" s="11"/>
      <c r="P20" s="324">
        <f>YEAR(datprizn)-1986</f>
        <v>-86</v>
      </c>
      <c r="Q20" s="325" t="e">
        <f>VLOOKUP(YEAR(datprizn)-2,O38:R83,4)*VLOOKUP(YEAR(datprizn)-2,O38:S83,5)</f>
        <v>#N/A</v>
      </c>
      <c r="R20" s="326" t="e">
        <f>VLOOKUP(YEAR(datprizn)-2,O38:R83,4)</f>
        <v>#N/A</v>
      </c>
      <c r="S20" s="326" t="e">
        <f>VLOOKUP(YEAR(datprizn)-2,O38:S83,5)</f>
        <v>#N/A</v>
      </c>
      <c r="T20" s="326" t="e">
        <f>R20*S20</f>
        <v>#N/A</v>
      </c>
      <c r="U20" s="11"/>
      <c r="V20" s="11"/>
      <c r="W20" s="11"/>
      <c r="X20" s="11"/>
      <c r="Y20" s="11"/>
      <c r="Z20" s="11"/>
      <c r="AA20" s="11"/>
      <c r="AB20" s="11"/>
      <c r="AC20" s="8"/>
    </row>
    <row r="21" spans="15:32" ht="7.5" customHeight="1">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V22" s="11"/>
      <c r="W22" s="11"/>
      <c r="X22" s="11"/>
      <c r="Y22" s="11"/>
      <c r="Z22" s="11"/>
      <c r="AA22" s="11"/>
      <c r="AB22" s="11"/>
      <c r="AC22" s="8"/>
    </row>
    <row r="23" spans="15:32" ht="7.5" customHeight="1">
      <c r="O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V24" s="10"/>
      <c r="W24" s="10"/>
      <c r="X24" s="10"/>
      <c r="Y24" s="10"/>
      <c r="Z24" s="10"/>
      <c r="AA24" s="10"/>
      <c r="AB24" s="10"/>
      <c r="AC24" s="7"/>
      <c r="AD24" s="7"/>
      <c r="AE24" s="7"/>
      <c r="AF24" s="7"/>
    </row>
    <row r="25" spans="15:32" ht="7.5" customHeight="1">
      <c r="O25" s="10"/>
      <c r="V25" s="10"/>
      <c r="W25" s="10"/>
      <c r="X25" s="10"/>
      <c r="Y25" s="10"/>
      <c r="Z25" s="10"/>
      <c r="AA25" s="10"/>
      <c r="AB25" s="10"/>
      <c r="AC25" s="7"/>
      <c r="AD25" s="7"/>
      <c r="AE25" s="7"/>
      <c r="AF25" s="7"/>
    </row>
    <row r="26" spans="1:32" ht="12" customHeight="1">
      <c r="A26" s="81" t="s">
        <v>59</v>
      </c>
      <c r="B26" s="547" t="s">
        <v>61</v>
      </c>
      <c r="C26" s="547"/>
      <c r="D26" s="547"/>
      <c r="E26" s="548">
        <f>IF(ISBLANK(datprizn),0,dnyvrozh)</f>
        <v>0</v>
      </c>
      <c r="F26" s="549"/>
      <c r="H26" s="48"/>
      <c r="O26" s="10"/>
      <c r="V26" s="10"/>
      <c r="W26" s="10"/>
      <c r="X26" s="10"/>
      <c r="Y26" s="10"/>
      <c r="Z26" s="10"/>
      <c r="AA26" s="10"/>
      <c r="AB26" s="10"/>
      <c r="AC26" s="7"/>
      <c r="AD26" s="7"/>
      <c r="AE26" s="7"/>
      <c r="AF26" s="7"/>
    </row>
    <row r="27" spans="1:32" ht="7.5" customHeight="1">
      <c r="A27" s="78"/>
      <c r="B27" s="41"/>
      <c r="C27" s="41"/>
      <c r="D27" s="41"/>
      <c r="E27" s="80"/>
      <c r="F27" s="151"/>
      <c r="O27" s="10"/>
      <c r="V27" s="10"/>
      <c r="W27" s="10"/>
      <c r="X27" s="10"/>
      <c r="Y27" s="10"/>
      <c r="Z27" s="10"/>
      <c r="AA27" s="10"/>
      <c r="AB27" s="10"/>
      <c r="AC27" s="7"/>
      <c r="AD27" s="7"/>
      <c r="AE27" s="7"/>
      <c r="AF27" s="7"/>
    </row>
    <row r="28" spans="1:29" ht="12" customHeight="1">
      <c r="A28" s="79"/>
      <c r="B28" s="542" t="s">
        <v>62</v>
      </c>
      <c r="C28" s="542"/>
      <c r="D28" s="542"/>
      <c r="E28" s="543">
        <f>IF(ISERROR(souhrnvyloudob),0,souhrnvyloudob)</f>
        <v>0</v>
      </c>
      <c r="F28" s="544"/>
      <c r="O28" s="11"/>
      <c r="W28" s="11"/>
      <c r="X28" s="11"/>
      <c r="Y28" s="11"/>
      <c r="Z28" s="11"/>
      <c r="AA28" s="11"/>
      <c r="AB28" s="11"/>
      <c r="AC28" s="8"/>
    </row>
    <row r="29" spans="15:29" ht="7.5" customHeight="1">
      <c r="O29" s="11"/>
      <c r="P29" s="11"/>
      <c r="Q29" s="11"/>
      <c r="R29" s="11"/>
      <c r="S29" s="11"/>
      <c r="T29" s="39"/>
      <c r="U29" s="11"/>
      <c r="V29" s="11"/>
      <c r="W29" s="11"/>
      <c r="X29" s="11"/>
      <c r="Y29" s="11"/>
      <c r="Z29" s="11"/>
      <c r="AA29" s="11"/>
      <c r="AB29" s="11"/>
      <c r="AC29" s="8"/>
    </row>
    <row r="30" spans="1:29" ht="12" customHeight="1">
      <c r="A30" s="74"/>
      <c r="B30" s="73"/>
      <c r="C30" s="73"/>
      <c r="D30" s="75" t="s">
        <v>58</v>
      </c>
      <c r="E30" s="553">
        <f>IF(ISERROR(T8),0,T8)</f>
        <v>0</v>
      </c>
      <c r="F30" s="553"/>
      <c r="G30" s="554"/>
      <c r="H30" s="59"/>
      <c r="I30" s="59"/>
      <c r="O30" s="11"/>
      <c r="P30" s="40"/>
      <c r="Q30" s="40"/>
      <c r="R30" s="40"/>
      <c r="S30" s="40"/>
      <c r="T30" s="11"/>
      <c r="U30" s="11"/>
      <c r="V30" s="11"/>
      <c r="W30" s="11"/>
      <c r="X30" s="11"/>
      <c r="Y30" s="11"/>
      <c r="Z30" s="11"/>
      <c r="AA30" s="11"/>
      <c r="AB30" s="11"/>
      <c r="AC30" s="8"/>
    </row>
    <row r="31" spans="1:29" ht="12" customHeight="1">
      <c r="A31" s="78"/>
      <c r="B31" s="59"/>
      <c r="C31" s="59"/>
      <c r="D31" s="76" t="s">
        <v>63</v>
      </c>
      <c r="E31" s="555">
        <f>IF(ISERROR(T14),0,T14)</f>
        <v>0</v>
      </c>
      <c r="F31" s="555"/>
      <c r="G31" s="556"/>
      <c r="H31" s="59"/>
      <c r="I31" s="59"/>
      <c r="O31" s="11"/>
      <c r="P31" s="40"/>
      <c r="Q31" s="40"/>
      <c r="R31" s="40"/>
      <c r="S31" s="40"/>
      <c r="T31" s="11"/>
      <c r="U31" s="11"/>
      <c r="V31" s="11"/>
      <c r="W31" s="11"/>
      <c r="X31" s="11"/>
      <c r="Y31" s="11"/>
      <c r="Z31" s="11"/>
      <c r="AA31" s="11"/>
      <c r="AB31" s="11"/>
      <c r="AC31" s="8"/>
    </row>
    <row r="32" spans="1:29" ht="12" customHeight="1">
      <c r="A32" s="79"/>
      <c r="B32" s="72"/>
      <c r="C32" s="72"/>
      <c r="D32" s="77" t="s">
        <v>60</v>
      </c>
      <c r="E32" s="543">
        <f>IF(ISERROR(vypoctzaklmin),0,vypoctzaklmin)</f>
        <v>0</v>
      </c>
      <c r="F32" s="543"/>
      <c r="G32" s="544"/>
      <c r="H32" s="59"/>
      <c r="I32" s="59"/>
      <c r="O32" s="11"/>
      <c r="P32" s="40"/>
      <c r="Q32" s="40"/>
      <c r="R32" s="40"/>
      <c r="S32" s="40"/>
      <c r="T32" s="11"/>
      <c r="U32" s="11"/>
      <c r="V32" s="11"/>
      <c r="W32" s="11"/>
      <c r="X32" s="11"/>
      <c r="Y32" s="11"/>
      <c r="Z32" s="11"/>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",VLOOKUP(YEAR(datprizn),O40:Z83,7))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67" t="str">
        <f>D34</f>
        <v> </v>
      </c>
      <c r="E35" s="41"/>
      <c r="F35" s="178" t="s">
        <v>92</v>
      </c>
      <c r="G35" s="147" t="str">
        <f>IF(ISBLANK(datprizn)," ",VLOOKUP(YEAR(datprizn),O41:Z83,8))</f>
        <v> </v>
      </c>
      <c r="H35" s="41"/>
      <c r="I35" s="41"/>
      <c r="J35" s="149" t="str">
        <f>IF(ISBLANK(datprizn)," ",VLOOKUP(YEAR(datprizn),O40:Z83,10))</f>
        <v> </v>
      </c>
      <c r="O35" s="11"/>
      <c r="P35" s="40"/>
      <c r="Q35" s="40"/>
      <c r="R35" s="40"/>
      <c r="S35" s="40"/>
      <c r="T35" s="11"/>
      <c r="U35" s="11"/>
      <c r="V35" s="11"/>
      <c r="W35" s="11"/>
      <c r="X35" s="11"/>
      <c r="Y35" s="11"/>
      <c r="Z35" s="11"/>
      <c r="AA35" s="11"/>
      <c r="AB35" s="11"/>
      <c r="AC35" s="8"/>
    </row>
    <row r="36" spans="1:29" ht="12" customHeight="1">
      <c r="A36" s="54"/>
      <c r="B36" s="41"/>
      <c r="C36" s="178" t="s">
        <v>93</v>
      </c>
      <c r="D36" s="267" t="str">
        <f>G35</f>
        <v> </v>
      </c>
      <c r="E36" s="41"/>
      <c r="F36" s="178" t="s">
        <v>92</v>
      </c>
      <c r="G36" s="147" t="str">
        <f>IF(ISBLANK(datprizn)," ",IF(ISBLANK(VLOOKUP(YEAR(datprizn),O42:Z83,9))," ",VLOOKUP(YEAR(datprizn),O42:Z83,9)))</f>
        <v> </v>
      </c>
      <c r="H36" s="41"/>
      <c r="I36" s="41"/>
      <c r="J36" s="149" t="str">
        <f>IF(ISBLANK(datprizn)," ",VLOOKUP(YEAR(datprizn),O40:Z83,11))</f>
        <v> </v>
      </c>
      <c r="O36" s="11"/>
      <c r="P36" s="40"/>
      <c r="Q36" s="40"/>
      <c r="R36" s="40"/>
      <c r="S36" s="40"/>
      <c r="T36" s="11"/>
      <c r="U36" s="11"/>
      <c r="V36" s="11"/>
      <c r="W36" s="11"/>
      <c r="X36" s="11"/>
      <c r="Y36" s="11"/>
      <c r="Z36" s="11"/>
      <c r="AA36" s="11"/>
      <c r="AB36" s="11"/>
      <c r="AC36" s="8"/>
    </row>
    <row r="37" spans="1:32" ht="12" customHeight="1">
      <c r="A37" s="55"/>
      <c r="B37" s="56"/>
      <c r="C37" s="262" t="s">
        <v>93</v>
      </c>
      <c r="D37" s="268" t="str">
        <f>G36</f>
        <v> </v>
      </c>
      <c r="E37" s="56"/>
      <c r="F37" s="56"/>
      <c r="G37" s="266" t="str">
        <f>IF(ISBLANK(datprizn)," ",VLOOKUP(YEAR(datprizn),O43:Z75,10))</f>
        <v> </v>
      </c>
      <c r="H37" s="56"/>
      <c r="I37" s="56"/>
      <c r="J37" s="150" t="str">
        <f>IF(ISBLANK(datprizn)," ",VLOOKUP(YEAR(datprizn),O40:Z83,12))</f>
        <v> </v>
      </c>
      <c r="O37" s="557" t="s">
        <v>22</v>
      </c>
      <c r="P37" s="550" t="s">
        <v>25</v>
      </c>
      <c r="Q37" s="560" t="s">
        <v>31</v>
      </c>
      <c r="R37" s="560" t="s">
        <v>26</v>
      </c>
      <c r="S37" s="560" t="s">
        <v>42</v>
      </c>
      <c r="T37" s="550" t="s">
        <v>30</v>
      </c>
      <c r="U37" s="550" t="s">
        <v>32</v>
      </c>
      <c r="V37" s="550" t="s">
        <v>33</v>
      </c>
      <c r="W37" s="550" t="s">
        <v>34</v>
      </c>
      <c r="X37" s="550" t="s">
        <v>35</v>
      </c>
      <c r="Y37" s="550" t="s">
        <v>36</v>
      </c>
      <c r="Z37" s="550" t="s">
        <v>37</v>
      </c>
      <c r="AA37" s="550" t="s">
        <v>43</v>
      </c>
      <c r="AB37" s="563" t="s">
        <v>77</v>
      </c>
      <c r="AC37" s="550" t="s">
        <v>78</v>
      </c>
      <c r="AD37"/>
      <c r="AE37"/>
      <c r="AF37"/>
    </row>
    <row r="38" spans="15:32" ht="7.5" customHeight="1">
      <c r="O38" s="558"/>
      <c r="P38" s="551"/>
      <c r="Q38" s="561"/>
      <c r="R38" s="561"/>
      <c r="S38" s="561"/>
      <c r="T38" s="551"/>
      <c r="U38" s="551"/>
      <c r="V38" s="551"/>
      <c r="W38" s="551"/>
      <c r="X38" s="551"/>
      <c r="Y38" s="551"/>
      <c r="Z38" s="551"/>
      <c r="AA38" s="551"/>
      <c r="AB38" s="563"/>
      <c r="AC38" s="551"/>
      <c r="AD38"/>
      <c r="AE38"/>
      <c r="AF38"/>
    </row>
    <row r="39" spans="15:32" ht="12" customHeight="1">
      <c r="O39" s="559"/>
      <c r="P39" s="552"/>
      <c r="Q39" s="562"/>
      <c r="R39" s="562"/>
      <c r="S39" s="562"/>
      <c r="T39" s="552"/>
      <c r="U39" s="552"/>
      <c r="V39" s="552"/>
      <c r="W39" s="552"/>
      <c r="X39" s="552"/>
      <c r="Y39" s="552"/>
      <c r="Z39" s="552"/>
      <c r="AA39" s="552"/>
      <c r="AB39" s="563"/>
      <c r="AC39" s="552"/>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269"/>
      <c r="G44" s="269"/>
      <c r="H44" s="269"/>
      <c r="I44" s="269"/>
      <c r="J44" s="269"/>
      <c r="K44" s="269"/>
      <c r="L44" s="269"/>
      <c r="M44" s="269"/>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269"/>
      <c r="G45" s="269"/>
      <c r="H45" s="269"/>
      <c r="I45" s="269"/>
      <c r="J45" s="269"/>
      <c r="K45" s="269"/>
      <c r="L45" s="269"/>
      <c r="M45" s="269"/>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269"/>
      <c r="G46" s="269"/>
      <c r="H46" s="269"/>
      <c r="I46" s="269"/>
      <c r="J46" s="269"/>
      <c r="K46" s="269"/>
      <c r="L46" s="269"/>
      <c r="M46" s="269"/>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269"/>
      <c r="G47" s="269"/>
      <c r="H47" s="269"/>
      <c r="I47" s="269"/>
      <c r="J47" s="269"/>
      <c r="K47" s="269"/>
      <c r="L47" s="269"/>
      <c r="M47" s="269"/>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269"/>
      <c r="G48" s="269"/>
      <c r="H48" s="269"/>
      <c r="I48" s="269"/>
      <c r="J48" s="269"/>
      <c r="K48" s="269"/>
      <c r="L48" s="269"/>
      <c r="M48" s="269"/>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269"/>
      <c r="G49" s="269"/>
      <c r="H49" s="269"/>
      <c r="I49" s="269"/>
      <c r="J49" s="269"/>
      <c r="K49" s="269"/>
      <c r="L49" s="269"/>
      <c r="M49" s="269"/>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M50" s="41"/>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 customHeight="1">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 customHeight="1">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 customHeight="1">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 customHeight="1">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 customHeight="1">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 customHeight="1">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 customHeight="1">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 customHeight="1">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AB63*AC63*12</f>
        <v>1130640</v>
      </c>
      <c r="AB63" s="94">
        <v>23555</v>
      </c>
      <c r="AC63" s="94">
        <v>4</v>
      </c>
      <c r="AD63"/>
      <c r="AE63"/>
      <c r="AF63"/>
    </row>
    <row r="64" spans="15:32" ht="12" customHeight="1">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aca="true" t="shared" si="1" ref="AA64:AA74">AB64*AC64*12</f>
        <v>1707048</v>
      </c>
      <c r="AB64" s="94">
        <v>23709</v>
      </c>
      <c r="AC64" s="94">
        <v>6</v>
      </c>
      <c r="AD64"/>
      <c r="AE64"/>
      <c r="AF64"/>
    </row>
    <row r="65" spans="15:32" ht="12" customHeight="1">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 customHeight="1">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 aca="true" t="shared" si="2" ref="AB69:AB74">MAX(CEILING(R67*S67,1),AB68)</f>
        <v>26611</v>
      </c>
      <c r="AC69" s="94">
        <v>4</v>
      </c>
      <c r="AE69"/>
      <c r="AF69"/>
    </row>
    <row r="70" spans="15:32" ht="12.75">
      <c r="O70" s="292">
        <v>2016</v>
      </c>
      <c r="P70" s="292">
        <f t="shared" si="0"/>
        <v>1</v>
      </c>
      <c r="Q70" s="294">
        <f>IF(ISBLANK('Důchodová a věková kalkulačka'!B88),0,CEILING(MIN('Důchodová a věková kalkulačka'!B88,AA70)*P70,1))</f>
        <v>0</v>
      </c>
      <c r="R70" s="292">
        <v>28250</v>
      </c>
      <c r="S70" s="295">
        <v>1.0612</v>
      </c>
      <c r="T70" s="296">
        <f>CEILING($AB70*0.09,10)</f>
        <v>2440</v>
      </c>
      <c r="U70" s="297">
        <f aca="true" t="shared" si="3" ref="U70:U84">CEILING($AB70*0.44,1)</f>
        <v>11883</v>
      </c>
      <c r="V70" s="297">
        <f aca="true" t="shared" si="4" ref="V70:V84">CEILING($AB70*4,1)</f>
        <v>108024</v>
      </c>
      <c r="W70" s="297"/>
      <c r="X70" s="297">
        <v>0.26</v>
      </c>
      <c r="Y70" s="297">
        <v>0</v>
      </c>
      <c r="Z70" s="297">
        <v>0</v>
      </c>
      <c r="AA70" s="298">
        <f t="shared" si="1"/>
        <v>1296288</v>
      </c>
      <c r="AB70" s="299">
        <f t="shared" si="2"/>
        <v>27006</v>
      </c>
      <c r="AC70" s="300">
        <v>4</v>
      </c>
      <c r="AE70"/>
      <c r="AF70"/>
    </row>
    <row r="71" spans="15:32" ht="12.75">
      <c r="O71" s="296">
        <v>2017</v>
      </c>
      <c r="P71" s="313">
        <f t="shared" si="0"/>
        <v>1</v>
      </c>
      <c r="Q71" s="294">
        <f>IF(ISBLANK('Důchodová a věková kalkulačka'!B89),0,CEILING(MIN('Důchodová a věková kalkulačka'!B89,AA71)*P71,1))</f>
        <v>0</v>
      </c>
      <c r="R71" s="313">
        <v>30156</v>
      </c>
      <c r="S71" s="295">
        <v>1.0843</v>
      </c>
      <c r="T71" s="296">
        <f>CEILING($AB71*0.09,10)</f>
        <v>2550</v>
      </c>
      <c r="U71" s="297">
        <f t="shared" si="3"/>
        <v>12423</v>
      </c>
      <c r="V71" s="297">
        <f t="shared" si="4"/>
        <v>112928</v>
      </c>
      <c r="W71" s="297"/>
      <c r="X71" s="297">
        <v>0.26</v>
      </c>
      <c r="Y71" s="315">
        <v>0</v>
      </c>
      <c r="Z71" s="297">
        <v>0</v>
      </c>
      <c r="AA71" s="297">
        <f t="shared" si="1"/>
        <v>1355136</v>
      </c>
      <c r="AB71" s="299">
        <f t="shared" si="2"/>
        <v>28232</v>
      </c>
      <c r="AC71" s="300">
        <v>4</v>
      </c>
      <c r="AE71"/>
      <c r="AF71"/>
    </row>
    <row r="72" spans="15:32" ht="12.75">
      <c r="O72" s="317">
        <v>2018</v>
      </c>
      <c r="P72" s="317">
        <f t="shared" si="0"/>
        <v>1</v>
      </c>
      <c r="Q72" s="294">
        <f>IF(ISBLANK('Důchodová a věková kalkulačka'!B90),0,CEILING(MIN('Důchodová a věková kalkulačka'!B90,AA72)*P72,1))</f>
        <v>0</v>
      </c>
      <c r="R72" s="317">
        <v>32510</v>
      </c>
      <c r="S72" s="295">
        <v>1.0715</v>
      </c>
      <c r="T72" s="296">
        <f>CEILING($AB72*0.09,10)</f>
        <v>2700</v>
      </c>
      <c r="U72" s="297">
        <f t="shared" si="3"/>
        <v>13191</v>
      </c>
      <c r="V72" s="297">
        <f t="shared" si="4"/>
        <v>119916</v>
      </c>
      <c r="W72" s="297"/>
      <c r="X72" s="297">
        <v>0.26</v>
      </c>
      <c r="Y72" s="315">
        <v>0</v>
      </c>
      <c r="Z72" s="297">
        <v>0</v>
      </c>
      <c r="AA72" s="298">
        <f t="shared" si="1"/>
        <v>1438992</v>
      </c>
      <c r="AB72" s="299">
        <f t="shared" si="2"/>
        <v>29979</v>
      </c>
      <c r="AC72" s="300">
        <v>4</v>
      </c>
      <c r="AE72"/>
      <c r="AF72"/>
    </row>
    <row r="73" spans="15:32" ht="12.75">
      <c r="O73" s="296">
        <v>2019</v>
      </c>
      <c r="P73" s="328">
        <f t="shared" si="0"/>
        <v>1</v>
      </c>
      <c r="Q73" s="294">
        <f>IF(ISBLANK('Důchodová a věková kalkulačka'!B91),0,CEILING(MIN('Důchodová a věková kalkulačka'!B91,AA73)*P73,1))</f>
        <v>0</v>
      </c>
      <c r="R73" s="328">
        <v>34766</v>
      </c>
      <c r="S73" s="295">
        <v>1.0194</v>
      </c>
      <c r="T73" s="296">
        <f aca="true" t="shared" si="5" ref="T73:T84">CEILING($AB73*0.1,10)</f>
        <v>3270</v>
      </c>
      <c r="U73" s="297">
        <f t="shared" si="3"/>
        <v>14388</v>
      </c>
      <c r="V73" s="297">
        <f t="shared" si="4"/>
        <v>130796</v>
      </c>
      <c r="W73" s="297"/>
      <c r="X73" s="297">
        <v>0.26</v>
      </c>
      <c r="Y73" s="315">
        <v>0</v>
      </c>
      <c r="Z73" s="297">
        <v>0</v>
      </c>
      <c r="AA73" s="298">
        <f t="shared" si="1"/>
        <v>1569552</v>
      </c>
      <c r="AB73" s="299">
        <f t="shared" si="2"/>
        <v>32699</v>
      </c>
      <c r="AC73" s="300">
        <v>4</v>
      </c>
      <c r="AE73"/>
      <c r="AF73"/>
    </row>
    <row r="74" spans="15:32" ht="12.75">
      <c r="O74" s="337">
        <v>2020</v>
      </c>
      <c r="P74" s="337">
        <f t="shared" si="0"/>
        <v>1</v>
      </c>
      <c r="Q74" s="294">
        <f>IF(ISBLANK('Důchodová a věková kalkulačka'!B92),0,CEILING(MIN('Důchodová a věková kalkulačka'!B92,AA74)*P74,1))</f>
        <v>0</v>
      </c>
      <c r="R74" s="337">
        <v>36119</v>
      </c>
      <c r="S74" s="295">
        <v>1.0773</v>
      </c>
      <c r="T74" s="296">
        <f t="shared" si="5"/>
        <v>3490</v>
      </c>
      <c r="U74" s="297">
        <f t="shared" si="3"/>
        <v>15328</v>
      </c>
      <c r="V74" s="297">
        <f t="shared" si="4"/>
        <v>139340</v>
      </c>
      <c r="W74" s="297"/>
      <c r="X74" s="297">
        <v>0.26</v>
      </c>
      <c r="Y74" s="297">
        <v>0</v>
      </c>
      <c r="Z74" s="297">
        <v>0</v>
      </c>
      <c r="AA74" s="298">
        <f t="shared" si="1"/>
        <v>1672080</v>
      </c>
      <c r="AB74" s="299">
        <f t="shared" si="2"/>
        <v>34835</v>
      </c>
      <c r="AC74" s="300">
        <v>4</v>
      </c>
      <c r="AD74" s="8"/>
      <c r="AE74"/>
      <c r="AF74"/>
    </row>
    <row r="75" spans="15:32" ht="12.75">
      <c r="O75" s="348">
        <v>2021</v>
      </c>
      <c r="P75" s="348">
        <f t="shared" si="0"/>
        <v>1</v>
      </c>
      <c r="Q75" s="294">
        <f>IF(ISBLANK('Důchodová a věková kalkulačka'!B93),0,CEILING(MIN('Důchodová a věková kalkulačka'!B93,AA75)*P75,1))</f>
        <v>0</v>
      </c>
      <c r="R75" s="348">
        <v>38294</v>
      </c>
      <c r="S75" s="295">
        <v>1.053</v>
      </c>
      <c r="T75" s="296">
        <f t="shared" si="5"/>
        <v>3550</v>
      </c>
      <c r="U75" s="297">
        <f t="shared" si="3"/>
        <v>15595</v>
      </c>
      <c r="V75" s="297">
        <f t="shared" si="4"/>
        <v>141764</v>
      </c>
      <c r="W75" s="297"/>
      <c r="X75" s="297">
        <v>0.26</v>
      </c>
      <c r="Y75" s="297">
        <v>0</v>
      </c>
      <c r="Z75" s="297">
        <v>0</v>
      </c>
      <c r="AA75" s="298">
        <f aca="true" t="shared" si="6" ref="AA75:AA80">AB75*AC75*12</f>
        <v>1701168</v>
      </c>
      <c r="AB75" s="299">
        <f aca="true" t="shared" si="7" ref="AB75:AB80">MAX(CEILING(R73*S73,1),AB74)</f>
        <v>35441</v>
      </c>
      <c r="AC75" s="300">
        <v>4</v>
      </c>
      <c r="AD75" s="8"/>
      <c r="AE75"/>
      <c r="AF75"/>
    </row>
    <row r="76" spans="15:32" ht="12.75">
      <c r="O76" s="378">
        <v>2022</v>
      </c>
      <c r="P76" s="378">
        <f aca="true" t="shared" si="8" ref="P76:P81">IF(O76&gt;=(YEAR(datprizn)-1),1,ROUND($Q$20/R76,4))</f>
        <v>1</v>
      </c>
      <c r="Q76" s="294">
        <f>IF(ISBLANK('Důchodová a věková kalkulačka'!B94),0,CEILING(MIN('Důchodová a věková kalkulačka'!B94,AA76)*P76,1))</f>
        <v>0</v>
      </c>
      <c r="R76" s="378">
        <v>40638</v>
      </c>
      <c r="S76" s="295">
        <v>1.0819</v>
      </c>
      <c r="T76" s="296">
        <f t="shared" si="5"/>
        <v>3900</v>
      </c>
      <c r="U76" s="297">
        <f t="shared" si="3"/>
        <v>17121</v>
      </c>
      <c r="V76" s="297">
        <f t="shared" si="4"/>
        <v>155644</v>
      </c>
      <c r="W76" s="297"/>
      <c r="X76" s="297">
        <v>0.26</v>
      </c>
      <c r="Y76" s="297">
        <v>0</v>
      </c>
      <c r="Z76" s="297">
        <v>0</v>
      </c>
      <c r="AA76" s="298">
        <f t="shared" si="6"/>
        <v>1867728</v>
      </c>
      <c r="AB76" s="299">
        <f t="shared" si="7"/>
        <v>38911</v>
      </c>
      <c r="AC76" s="300">
        <v>4</v>
      </c>
      <c r="AD76" s="8"/>
      <c r="AE76"/>
      <c r="AF76"/>
    </row>
    <row r="77" spans="15:32" ht="13.5" thickBot="1">
      <c r="O77" s="99">
        <v>2023</v>
      </c>
      <c r="P77" s="99">
        <f t="shared" si="8"/>
        <v>1</v>
      </c>
      <c r="Q77" s="100">
        <f>IF(ISBLANK('Důchodová a věková kalkulačka'!B95),0,CEILING(MIN('Důchodová a věková kalkulačka'!B95,AA77)*P77,1))</f>
        <v>0</v>
      </c>
      <c r="R77" s="99">
        <v>41500</v>
      </c>
      <c r="S77" s="101">
        <v>1.0895</v>
      </c>
      <c r="T77" s="98">
        <f t="shared" si="5"/>
        <v>4040</v>
      </c>
      <c r="U77" s="102">
        <f t="shared" si="3"/>
        <v>17743</v>
      </c>
      <c r="V77" s="102">
        <f t="shared" si="4"/>
        <v>161296</v>
      </c>
      <c r="W77" s="102"/>
      <c r="X77" s="102">
        <v>0.26</v>
      </c>
      <c r="Y77" s="102">
        <v>0</v>
      </c>
      <c r="Z77" s="102">
        <v>0</v>
      </c>
      <c r="AA77" s="102">
        <f t="shared" si="6"/>
        <v>1935552</v>
      </c>
      <c r="AB77" s="103">
        <f t="shared" si="7"/>
        <v>40324</v>
      </c>
      <c r="AC77" s="291">
        <v>4</v>
      </c>
      <c r="AD77" s="8"/>
      <c r="AE77"/>
      <c r="AF77"/>
    </row>
    <row r="78" spans="15:32" ht="12.75">
      <c r="O78" s="379">
        <v>2024</v>
      </c>
      <c r="P78" s="379">
        <f t="shared" si="8"/>
        <v>1</v>
      </c>
      <c r="Q78" s="96">
        <f>IF(ISBLANK('Důchodová a věková kalkulačka'!B96),0,CEILING(MIN('Důchodová a věková kalkulačka'!B96,AA78)*P78,1))</f>
        <v>0</v>
      </c>
      <c r="R78" s="318">
        <v>42000</v>
      </c>
      <c r="S78" s="97">
        <v>1.0965</v>
      </c>
      <c r="T78" s="107">
        <f t="shared" si="5"/>
        <v>4400</v>
      </c>
      <c r="U78" s="92">
        <f t="shared" si="3"/>
        <v>19346</v>
      </c>
      <c r="V78" s="92">
        <f t="shared" si="4"/>
        <v>175868</v>
      </c>
      <c r="W78" s="92"/>
      <c r="X78" s="92">
        <v>0.26</v>
      </c>
      <c r="Y78" s="92">
        <v>0</v>
      </c>
      <c r="Z78" s="92">
        <v>0</v>
      </c>
      <c r="AA78" s="104">
        <f t="shared" si="6"/>
        <v>2110416</v>
      </c>
      <c r="AB78" s="122">
        <f t="shared" si="7"/>
        <v>43967</v>
      </c>
      <c r="AC78" s="95">
        <v>4</v>
      </c>
      <c r="AD78" s="8"/>
      <c r="AE78"/>
      <c r="AF78"/>
    </row>
    <row r="79" spans="15:32" ht="12.75">
      <c r="O79" s="61">
        <v>2025</v>
      </c>
      <c r="P79" s="61">
        <f t="shared" si="8"/>
        <v>1</v>
      </c>
      <c r="Q79" s="62">
        <f>IF(ISBLANK('Důchodová a věková kalkulačka'!B97),0,CEILING(MIN('Důchodová a věková kalkulačka'!B97,AA79)*P79,1))</f>
        <v>0</v>
      </c>
      <c r="R79" s="318">
        <v>42300</v>
      </c>
      <c r="S79" s="63">
        <v>1.1015</v>
      </c>
      <c r="T79" s="64">
        <f t="shared" si="5"/>
        <v>4530</v>
      </c>
      <c r="U79" s="60">
        <f t="shared" si="3"/>
        <v>19895</v>
      </c>
      <c r="V79" s="60">
        <f t="shared" si="4"/>
        <v>180860</v>
      </c>
      <c r="W79" s="60"/>
      <c r="X79" s="60">
        <v>0.26</v>
      </c>
      <c r="Y79" s="60">
        <v>0</v>
      </c>
      <c r="Z79" s="60">
        <v>0</v>
      </c>
      <c r="AA79" s="91">
        <f t="shared" si="6"/>
        <v>2170320</v>
      </c>
      <c r="AB79" s="94">
        <f t="shared" si="7"/>
        <v>45215</v>
      </c>
      <c r="AC79" s="93">
        <v>4</v>
      </c>
      <c r="AD79" s="8"/>
      <c r="AE79"/>
      <c r="AF79"/>
    </row>
    <row r="80" spans="15:32" ht="12.75">
      <c r="O80" s="61">
        <v>2026</v>
      </c>
      <c r="P80" s="61">
        <f t="shared" si="8"/>
        <v>1</v>
      </c>
      <c r="Q80" s="62">
        <f>IF(ISBLANK('Důchodová a věková kalkulačka'!B98),0,CEILING(MIN('Důchodová a věková kalkulačka'!B98,AA80)*P80,1))</f>
        <v>0</v>
      </c>
      <c r="R80" s="318">
        <v>42500</v>
      </c>
      <c r="S80" s="63">
        <v>1.1045</v>
      </c>
      <c r="T80" s="64">
        <f t="shared" si="5"/>
        <v>4610</v>
      </c>
      <c r="U80" s="60">
        <f t="shared" si="3"/>
        <v>20264</v>
      </c>
      <c r="V80" s="60">
        <f t="shared" si="4"/>
        <v>184212</v>
      </c>
      <c r="W80" s="60"/>
      <c r="X80" s="60">
        <v>0.26</v>
      </c>
      <c r="Y80" s="60">
        <v>0</v>
      </c>
      <c r="Z80" s="60">
        <v>0</v>
      </c>
      <c r="AA80" s="91">
        <f t="shared" si="6"/>
        <v>2210544</v>
      </c>
      <c r="AB80" s="94">
        <f t="shared" si="7"/>
        <v>46053</v>
      </c>
      <c r="AC80" s="93">
        <v>4</v>
      </c>
      <c r="AD80" s="8"/>
      <c r="AE80"/>
      <c r="AF80"/>
    </row>
    <row r="81" spans="15:32" ht="12.75">
      <c r="O81" s="61">
        <v>2027</v>
      </c>
      <c r="P81" s="61">
        <f t="shared" si="8"/>
        <v>1</v>
      </c>
      <c r="Q81" s="62">
        <f>IF(ISBLANK('Důchodová a věková kalkulačka'!B99),0,CEILING(MIN('Důchodová a věková kalkulačka'!B99,AA81)*P81,1))</f>
        <v>0</v>
      </c>
      <c r="R81" s="349">
        <v>42600</v>
      </c>
      <c r="S81" s="63">
        <v>1.1055</v>
      </c>
      <c r="T81" s="64">
        <f t="shared" si="5"/>
        <v>4660</v>
      </c>
      <c r="U81" s="60">
        <f t="shared" si="3"/>
        <v>20502</v>
      </c>
      <c r="V81" s="60">
        <f t="shared" si="4"/>
        <v>186376</v>
      </c>
      <c r="W81" s="60"/>
      <c r="X81" s="60">
        <v>0.26</v>
      </c>
      <c r="Y81" s="60">
        <v>0</v>
      </c>
      <c r="Z81" s="60">
        <v>0</v>
      </c>
      <c r="AA81" s="91">
        <f>AB81*AC81*12</f>
        <v>2236512</v>
      </c>
      <c r="AB81" s="94">
        <f>MAX(CEILING(R79*S79,1),AB80)</f>
        <v>46594</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49">
        <v>42600</v>
      </c>
      <c r="S82" s="63">
        <v>1.1055</v>
      </c>
      <c r="T82" s="64">
        <f t="shared" si="5"/>
        <v>4700</v>
      </c>
      <c r="U82" s="60">
        <f t="shared" si="3"/>
        <v>20655</v>
      </c>
      <c r="V82" s="60">
        <f t="shared" si="4"/>
        <v>187768</v>
      </c>
      <c r="W82" s="60"/>
      <c r="X82" s="60">
        <v>0.26</v>
      </c>
      <c r="Y82" s="60">
        <v>0</v>
      </c>
      <c r="Z82" s="60">
        <v>0</v>
      </c>
      <c r="AA82" s="91">
        <f>AB82*AC82*12</f>
        <v>2253216</v>
      </c>
      <c r="AB82" s="94">
        <f>MAX(CEILING(R80*S80,1),AB81)</f>
        <v>46942</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49">
        <v>42600</v>
      </c>
      <c r="S83" s="63">
        <v>1.1055</v>
      </c>
      <c r="T83" s="64">
        <f t="shared" si="5"/>
        <v>4710</v>
      </c>
      <c r="U83" s="60">
        <f t="shared" si="3"/>
        <v>20722</v>
      </c>
      <c r="V83" s="60">
        <f t="shared" si="4"/>
        <v>188380</v>
      </c>
      <c r="W83" s="60"/>
      <c r="X83" s="60">
        <v>0.26</v>
      </c>
      <c r="Y83" s="60">
        <v>0</v>
      </c>
      <c r="Z83" s="60">
        <v>0</v>
      </c>
      <c r="AA83" s="91">
        <f>AB83*AC83*12</f>
        <v>2260560</v>
      </c>
      <c r="AB83" s="94">
        <f>MAX(CEILING(R81*S81,1),AB82)</f>
        <v>47095</v>
      </c>
      <c r="AC83" s="93">
        <v>4</v>
      </c>
      <c r="AD83" s="8"/>
      <c r="AE83"/>
      <c r="AF83"/>
    </row>
    <row r="84" spans="15:32" ht="12.75">
      <c r="O84" s="61">
        <v>2030</v>
      </c>
      <c r="P84" s="61">
        <f>IF(O84&gt;=(YEAR(datprizn)-1),1,ROUND($Q$20/R84,4))</f>
        <v>1</v>
      </c>
      <c r="Q84" s="62">
        <f>IF(ISBLANK('Důchodová a věková kalkulačka'!B102),0,CEILING(MIN('Důchodová a věková kalkulačka'!B102,AA84)*P84,1))</f>
        <v>0</v>
      </c>
      <c r="R84" s="379">
        <v>42600</v>
      </c>
      <c r="S84" s="63">
        <v>1.1055</v>
      </c>
      <c r="T84" s="64">
        <f t="shared" si="5"/>
        <v>4710</v>
      </c>
      <c r="U84" s="60">
        <f t="shared" si="3"/>
        <v>20722</v>
      </c>
      <c r="V84" s="60">
        <f t="shared" si="4"/>
        <v>188380</v>
      </c>
      <c r="W84" s="60"/>
      <c r="X84" s="60">
        <v>0.26</v>
      </c>
      <c r="Y84" s="60">
        <v>0</v>
      </c>
      <c r="Z84" s="60">
        <v>0</v>
      </c>
      <c r="AA84" s="91">
        <f>AB84*AC84*12</f>
        <v>2260560</v>
      </c>
      <c r="AB84" s="94">
        <f>MAX(CEILING(R82*S82,1),AB83)</f>
        <v>47095</v>
      </c>
      <c r="AC84" s="93">
        <v>4</v>
      </c>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password="DA50"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15 V16:AF20">
    <cfRule type="expression" priority="19" dxfId="99">
      <formula>YEAR($I$10)&gt;1974</formula>
    </cfRule>
  </conditionalFormatting>
  <conditionalFormatting sqref="P20">
    <cfRule type="expression" priority="20" dxfId="35" stopIfTrue="1">
      <formula>$D$6=2011</formula>
    </cfRule>
    <cfRule type="expression" priority="21" dxfId="108" stopIfTrue="1">
      <formula>$D$6&lt;&gt;2011</formula>
    </cfRule>
  </conditionalFormatting>
  <conditionalFormatting sqref="AB62:AC68 AC69 AB69:AB76">
    <cfRule type="expression" priority="18" dxfId="16" stopIfTrue="1">
      <formula>RP&lt;1996</formula>
    </cfRule>
  </conditionalFormatting>
  <conditionalFormatting sqref="AB62:AC68 AC69 AB69:AB76">
    <cfRule type="expression" priority="17" dxfId="16" stopIfTrue="1">
      <formula>OR($F62&gt;RP,$F62=0)</formula>
    </cfRule>
  </conditionalFormatting>
  <conditionalFormatting sqref="AB77">
    <cfRule type="expression" priority="16" dxfId="16" stopIfTrue="1">
      <formula>RP&lt;1996</formula>
    </cfRule>
  </conditionalFormatting>
  <conditionalFormatting sqref="AB77">
    <cfRule type="expression" priority="15" dxfId="16" stopIfTrue="1">
      <formula>OR($F77&gt;RP,$F77=0)</formula>
    </cfRule>
  </conditionalFormatting>
  <conditionalFormatting sqref="AB78">
    <cfRule type="expression" priority="14" dxfId="16" stopIfTrue="1">
      <formula>RP&lt;1996</formula>
    </cfRule>
  </conditionalFormatting>
  <conditionalFormatting sqref="AB78">
    <cfRule type="expression" priority="13" dxfId="16" stopIfTrue="1">
      <formula>OR($F78&gt;RP,$F78=0)</formula>
    </cfRule>
  </conditionalFormatting>
  <conditionalFormatting sqref="AB79">
    <cfRule type="expression" priority="12" dxfId="16" stopIfTrue="1">
      <formula>RP&lt;1996</formula>
    </cfRule>
  </conditionalFormatting>
  <conditionalFormatting sqref="AB79">
    <cfRule type="expression" priority="11" dxfId="16" stopIfTrue="1">
      <formula>OR($F79&gt;RP,$F79=0)</formula>
    </cfRule>
  </conditionalFormatting>
  <conditionalFormatting sqref="AB80">
    <cfRule type="expression" priority="10" dxfId="16" stopIfTrue="1">
      <formula>RP&lt;1996</formula>
    </cfRule>
  </conditionalFormatting>
  <conditionalFormatting sqref="AB80">
    <cfRule type="expression" priority="9" dxfId="16" stopIfTrue="1">
      <formula>OR($F80&gt;RP,$F80=0)</formula>
    </cfRule>
  </conditionalFormatting>
  <conditionalFormatting sqref="AB81">
    <cfRule type="expression" priority="8" dxfId="16" stopIfTrue="1">
      <formula>RP&lt;1996</formula>
    </cfRule>
  </conditionalFormatting>
  <conditionalFormatting sqref="AB81">
    <cfRule type="expression" priority="7" dxfId="16" stopIfTrue="1">
      <formula>OR($F81&gt;RP,$F81=0)</formula>
    </cfRule>
  </conditionalFormatting>
  <conditionalFormatting sqref="AB82">
    <cfRule type="expression" priority="6" dxfId="16" stopIfTrue="1">
      <formula>RP&lt;1996</formula>
    </cfRule>
  </conditionalFormatting>
  <conditionalFormatting sqref="AB82">
    <cfRule type="expression" priority="5" dxfId="16" stopIfTrue="1">
      <formula>OR($F82&gt;RP,$F82=0)</formula>
    </cfRule>
  </conditionalFormatting>
  <conditionalFormatting sqref="AB83">
    <cfRule type="expression" priority="4" dxfId="16" stopIfTrue="1">
      <formula>RP&lt;1996</formula>
    </cfRule>
  </conditionalFormatting>
  <conditionalFormatting sqref="AB83">
    <cfRule type="expression" priority="3" dxfId="16" stopIfTrue="1">
      <formula>OR($F83&gt;RP,$F83=0)</formula>
    </cfRule>
  </conditionalFormatting>
  <conditionalFormatting sqref="AB84">
    <cfRule type="expression" priority="2" dxfId="16" stopIfTrue="1">
      <formula>RP&lt;1996</formula>
    </cfRule>
  </conditionalFormatting>
  <conditionalFormatting sqref="AB84">
    <cfRule type="expression" priority="1" dxfId="16" stopIfTrue="1">
      <formula>OR($F84&gt;RP,$F84=0)</formula>
    </cfRule>
  </conditionalFormatting>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1" width="9.140625" style="5" hidden="1" customWidth="1"/>
    <col min="32" max="32" width="9.140625" style="5" customWidth="1"/>
  </cols>
  <sheetData>
    <row r="1" spans="1:29" ht="13.5" thickBot="1">
      <c r="A1" s="448" t="s">
        <v>87</v>
      </c>
      <c r="B1" s="448"/>
      <c r="C1" s="448"/>
      <c r="D1" s="448"/>
      <c r="E1" s="448"/>
      <c r="F1" s="448"/>
      <c r="G1" s="448"/>
      <c r="H1" s="448"/>
      <c r="I1" s="448"/>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5" t="str">
        <f>narokst</f>
        <v> </v>
      </c>
      <c r="D4" s="546"/>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5" t="str">
        <f>IF(ISBLANK(datprizn)," ",datprizn)</f>
        <v> </v>
      </c>
      <c r="D6" s="546"/>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IF(ISBLANK(datprizn),0,CEILING(vypocetzaklstr*procvym1,1))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IF(ISBLANK(datprizn),0,CEILING(vypocetzaklstr*procvym2,1))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IF(ISBLANK(datprizn),0,-FLOOR(-vypocetzaklstr*procvym3,1))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IF(ovzstr&lt;=VLOOKUP(YEAR(datprizn),O40:Z83,7),ovzstr,VLOOKUP(YEAR(datprizn),O40:Z83,7)+(MIN(ovzstr,VLOOKUP(YEAR(datprizn),O40:Z83,8))-VLOOKUP(YEAR(datprizn),O40:Z83,7))*VLOOKUP(YEAR(datprizn),O40:Z83,10))</f>
        <v>#REF!</v>
      </c>
      <c r="S16" s="121" t="e">
        <f>IF(OR(ovzstr&lt;=VLOOKUP(YEAR(datprizn),O40:Z83,8),YEAR(datprizn)&gt;2014),0,IF(USS=0,(ovzstr-VLOOKUP(YEAR(datprizn),O40:Z83,8))*VLOOKUP(YEAR(datprizn),O40:Z83,11),(MIN(ovzstr,VLOOKUP(YEAR(datprizn),O40:Z83,9))-VLOOKUP(YEAR(datprizn),O40:Z83,8))*VLOOKUP(YEAR(datprizn),O40:Z83,11)+IF(ovzstr&gt;VLOOKUP(YEAR(datprizn),O40:Z83,9),(ovzstr-VLOOKUP(YEAR(datprizn),O40:Z83,9))*VLOOKUP(YEAR(datprizn),O40:Z83,12),0)))</f>
        <v>#REF!</v>
      </c>
      <c r="T16" s="121" t="e">
        <f>CEILING(R16+S16,1)</f>
        <v>#REF!</v>
      </c>
      <c r="U16" s="10"/>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IF(ISBLANK(datprizn),0,VLOOKUP(YEAR(datprizn),'Střední varianta'!O40:T83,6))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L16+L18</f>
        <v>0</v>
      </c>
      <c r="M20" s="59" t="s">
        <v>56</v>
      </c>
      <c r="O20" s="11"/>
      <c r="P20" s="324">
        <f>YEAR(datprizn)-1986</f>
        <v>-86</v>
      </c>
      <c r="Q20" s="325" t="e">
        <f>VLOOKUP(YEAR(datprizn)-2,O38:R83,4)*VLOOKUP(YEAR(datprizn)-2,O38:S83,5)</f>
        <v>#N/A</v>
      </c>
      <c r="R20" s="326" t="e">
        <f>VLOOKUP(YEAR(datprizn)-2,O38:R83,4)</f>
        <v>#N/A</v>
      </c>
      <c r="S20" s="326" t="e">
        <f>VLOOKUP(YEAR(datprizn)-2,O38:S83,5)</f>
        <v>#N/A</v>
      </c>
      <c r="T20" s="326" t="e">
        <f>R20*S20</f>
        <v>#N/A</v>
      </c>
      <c r="U20" s="10"/>
      <c r="V20" s="11"/>
      <c r="W20" s="11"/>
      <c r="X20" s="11"/>
      <c r="Y20" s="11"/>
      <c r="Z20" s="11"/>
      <c r="AA20" s="11"/>
      <c r="AB20" s="11"/>
      <c r="AC20" s="8"/>
    </row>
    <row r="21" spans="15:32" ht="7.5" customHeight="1">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U22" s="11"/>
      <c r="V22" s="11"/>
      <c r="W22" s="11"/>
      <c r="X22" s="11"/>
      <c r="Y22" s="11"/>
      <c r="Z22" s="11"/>
      <c r="AA22" s="11"/>
      <c r="AB22" s="11"/>
      <c r="AC22" s="8"/>
    </row>
    <row r="23" spans="7:32" ht="7.5" customHeight="1">
      <c r="G23" s="5"/>
      <c r="O23" s="10"/>
      <c r="U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U24" s="10"/>
      <c r="V24" s="10"/>
      <c r="W24" s="10"/>
      <c r="X24" s="10"/>
      <c r="Y24" s="10"/>
      <c r="Z24" s="10"/>
      <c r="AA24" s="10"/>
      <c r="AB24" s="10"/>
      <c r="AC24" s="7"/>
      <c r="AD24" s="7"/>
      <c r="AE24" s="7"/>
      <c r="AF24" s="7"/>
    </row>
    <row r="25" spans="15:32" ht="7.5" customHeight="1">
      <c r="O25" s="10"/>
      <c r="U25" s="10"/>
      <c r="V25" s="10"/>
      <c r="W25" s="10"/>
      <c r="X25" s="10"/>
      <c r="Y25" s="10"/>
      <c r="Z25" s="10"/>
      <c r="AA25" s="10"/>
      <c r="AB25" s="10"/>
      <c r="AC25" s="7"/>
      <c r="AD25" s="7"/>
      <c r="AE25" s="7"/>
      <c r="AF25" s="7"/>
    </row>
    <row r="26" spans="1:32" ht="12" customHeight="1">
      <c r="A26" s="81" t="s">
        <v>59</v>
      </c>
      <c r="B26" s="547" t="s">
        <v>61</v>
      </c>
      <c r="C26" s="547"/>
      <c r="D26" s="547"/>
      <c r="E26" s="548">
        <f>IF(ISBLANK(datprizn),0,dnyvrozh)</f>
        <v>0</v>
      </c>
      <c r="F26" s="549"/>
      <c r="H26" s="48"/>
      <c r="O26" s="10"/>
      <c r="U26" s="11"/>
      <c r="V26" s="10"/>
      <c r="W26" s="10"/>
      <c r="X26" s="10"/>
      <c r="Y26" s="10"/>
      <c r="Z26" s="10"/>
      <c r="AA26" s="10"/>
      <c r="AB26" s="10"/>
      <c r="AC26" s="7"/>
      <c r="AD26" s="7"/>
      <c r="AE26" s="7"/>
      <c r="AF26" s="7"/>
    </row>
    <row r="27" spans="1:32" ht="7.5" customHeight="1">
      <c r="A27" s="78"/>
      <c r="B27" s="41"/>
      <c r="C27" s="41"/>
      <c r="D27" s="41"/>
      <c r="E27" s="80"/>
      <c r="F27" s="82"/>
      <c r="O27" s="10"/>
      <c r="U27" s="10"/>
      <c r="V27" s="10"/>
      <c r="W27" s="10"/>
      <c r="X27" s="10"/>
      <c r="Y27" s="10"/>
      <c r="Z27" s="10"/>
      <c r="AA27" s="10"/>
      <c r="AB27" s="10"/>
      <c r="AC27" s="7"/>
      <c r="AD27" s="7"/>
      <c r="AE27" s="7"/>
      <c r="AF27" s="7"/>
    </row>
    <row r="28" spans="1:29" ht="12" customHeight="1">
      <c r="A28" s="79"/>
      <c r="B28" s="542" t="s">
        <v>62</v>
      </c>
      <c r="C28" s="542"/>
      <c r="D28" s="542"/>
      <c r="E28" s="543">
        <f>IF(ISERROR(souhrnvyloudob),0,souhrnvyloudob)</f>
        <v>0</v>
      </c>
      <c r="F28" s="544"/>
      <c r="O28" s="11"/>
      <c r="W28" s="11"/>
      <c r="X28" s="11"/>
      <c r="Y28" s="11"/>
      <c r="Z28" s="11"/>
      <c r="AA28" s="11"/>
      <c r="AB28" s="11"/>
      <c r="AC28" s="8"/>
    </row>
    <row r="29" spans="15:29" ht="7.5" customHeight="1">
      <c r="O29" s="11"/>
      <c r="P29" s="11"/>
      <c r="Q29" s="11"/>
      <c r="R29" s="11"/>
      <c r="S29" s="11"/>
      <c r="T29" s="39"/>
      <c r="U29" s="11"/>
      <c r="V29" s="11"/>
      <c r="W29" s="11"/>
      <c r="X29" s="11"/>
      <c r="Y29" s="11"/>
      <c r="Z29" s="11"/>
      <c r="AA29" s="11"/>
      <c r="AB29" s="11"/>
      <c r="AC29" s="8"/>
    </row>
    <row r="30" spans="1:29" ht="12" customHeight="1">
      <c r="A30" s="74"/>
      <c r="B30" s="73"/>
      <c r="C30" s="73"/>
      <c r="D30" s="75" t="s">
        <v>58</v>
      </c>
      <c r="E30" s="553">
        <f>IF(ISERROR(T8),0,T8)</f>
        <v>0</v>
      </c>
      <c r="F30" s="553"/>
      <c r="G30" s="554"/>
      <c r="H30" s="59"/>
      <c r="I30" s="59"/>
      <c r="O30" s="11"/>
      <c r="P30" s="40"/>
      <c r="Q30" s="40"/>
      <c r="R30" s="40"/>
      <c r="S30" s="40"/>
      <c r="T30" s="11"/>
      <c r="U30" s="11"/>
      <c r="V30" s="11"/>
      <c r="W30" s="11"/>
      <c r="X30" s="11"/>
      <c r="Y30" s="11"/>
      <c r="Z30" s="11"/>
      <c r="AA30" s="11"/>
      <c r="AB30" s="11"/>
      <c r="AC30" s="8"/>
    </row>
    <row r="31" spans="1:29" ht="12" customHeight="1">
      <c r="A31" s="78"/>
      <c r="B31" s="59"/>
      <c r="C31" s="59"/>
      <c r="D31" s="76" t="s">
        <v>63</v>
      </c>
      <c r="E31" s="555">
        <f>IF(ISERROR(T14),0,T14)</f>
        <v>0</v>
      </c>
      <c r="F31" s="555"/>
      <c r="G31" s="556"/>
      <c r="H31" s="59"/>
      <c r="I31" s="59"/>
      <c r="O31" s="11"/>
      <c r="P31" s="40"/>
      <c r="Q31" s="40"/>
      <c r="R31" s="40"/>
      <c r="S31" s="40"/>
      <c r="T31" s="11"/>
      <c r="U31" s="11"/>
      <c r="V31" s="11"/>
      <c r="W31" s="11"/>
      <c r="X31" s="11"/>
      <c r="Y31" s="11"/>
      <c r="Z31" s="11"/>
      <c r="AA31" s="11"/>
      <c r="AB31" s="11"/>
      <c r="AC31" s="8"/>
    </row>
    <row r="32" spans="1:29" ht="12" customHeight="1">
      <c r="A32" s="79"/>
      <c r="B32" s="72"/>
      <c r="C32" s="72"/>
      <c r="D32" s="77" t="s">
        <v>60</v>
      </c>
      <c r="E32" s="543">
        <f>IF(ISERROR(vypocetzaklstr),0,vypocetzaklstr)</f>
        <v>0</v>
      </c>
      <c r="F32" s="543"/>
      <c r="G32" s="544"/>
      <c r="H32" s="59"/>
      <c r="I32" s="59"/>
      <c r="O32" s="11"/>
      <c r="P32" s="40"/>
      <c r="Q32" s="40"/>
      <c r="R32" s="40"/>
      <c r="S32" s="40"/>
      <c r="T32" s="11"/>
      <c r="U32" s="11"/>
      <c r="V32" s="11"/>
      <c r="W32" s="11"/>
      <c r="X32" s="11"/>
      <c r="Y32" s="11"/>
      <c r="Z32" s="11"/>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",VLOOKUP(YEAR(datprizn),O40:Z83,7))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70" t="str">
        <f>D34</f>
        <v> </v>
      </c>
      <c r="E35" s="41"/>
      <c r="F35" s="178" t="s">
        <v>92</v>
      </c>
      <c r="G35" s="147" t="str">
        <f>IF(ISBLANK(datprizn)," ",VLOOKUP(YEAR(datprizn),O41:Z83,8))</f>
        <v> </v>
      </c>
      <c r="H35" s="41"/>
      <c r="I35" s="41"/>
      <c r="J35" s="149" t="str">
        <f>IF(ISBLANK(datprizn)," ",VLOOKUP(YEAR(datprizn),O40:Z83,10))</f>
        <v> </v>
      </c>
      <c r="O35" s="11"/>
      <c r="P35" s="40"/>
      <c r="Q35" s="40"/>
      <c r="R35" s="40"/>
      <c r="S35" s="40"/>
      <c r="T35" s="11"/>
      <c r="U35" s="11"/>
      <c r="V35" s="11"/>
      <c r="W35" s="11"/>
      <c r="X35" s="11"/>
      <c r="Y35" s="11"/>
      <c r="Z35" s="11"/>
      <c r="AA35" s="11"/>
      <c r="AB35" s="11"/>
      <c r="AC35" s="8"/>
    </row>
    <row r="36" spans="1:29" ht="12" customHeight="1">
      <c r="A36" s="54"/>
      <c r="B36" s="41"/>
      <c r="C36" s="178" t="s">
        <v>93</v>
      </c>
      <c r="D36" s="270" t="str">
        <f>G35</f>
        <v> </v>
      </c>
      <c r="E36" s="41"/>
      <c r="F36" s="178" t="s">
        <v>92</v>
      </c>
      <c r="G36" s="147" t="str">
        <f>IF(ISBLANK(datprizn)," ",IF(ISBLANK(VLOOKUP(YEAR(datprizn),O42:Z83,9))," ",VLOOKUP(YEAR(datprizn),O42:Z83,9)))</f>
        <v> </v>
      </c>
      <c r="H36" s="41"/>
      <c r="I36" s="41"/>
      <c r="J36" s="149" t="str">
        <f>IF(ISBLANK(datprizn)," ",VLOOKUP(YEAR(datprizn),O40:Z83,11))</f>
        <v> </v>
      </c>
      <c r="O36" s="11"/>
      <c r="P36" s="40"/>
      <c r="Q36" s="40"/>
      <c r="R36" s="40"/>
      <c r="S36" s="40"/>
      <c r="T36" s="11"/>
      <c r="U36" s="11"/>
      <c r="V36" s="11"/>
      <c r="W36" s="11"/>
      <c r="X36" s="11"/>
      <c r="Y36" s="11"/>
      <c r="Z36" s="11"/>
      <c r="AA36" s="11"/>
      <c r="AB36" s="11"/>
      <c r="AC36" s="8"/>
    </row>
    <row r="37" spans="1:32" ht="12" customHeight="1">
      <c r="A37" s="55"/>
      <c r="B37" s="56"/>
      <c r="C37" s="262" t="s">
        <v>93</v>
      </c>
      <c r="D37" s="271" t="str">
        <f>G36</f>
        <v> </v>
      </c>
      <c r="E37" s="56"/>
      <c r="F37" s="56"/>
      <c r="G37" s="56"/>
      <c r="H37" s="56"/>
      <c r="I37" s="56"/>
      <c r="J37" s="150" t="str">
        <f>IF(ISBLANK(datprizn)," ",VLOOKUP(YEAR(datprizn),O40:Z83,12))</f>
        <v> </v>
      </c>
      <c r="O37" s="557" t="s">
        <v>22</v>
      </c>
      <c r="P37" s="550" t="s">
        <v>25</v>
      </c>
      <c r="Q37" s="560" t="s">
        <v>31</v>
      </c>
      <c r="R37" s="560" t="s">
        <v>26</v>
      </c>
      <c r="S37" s="560" t="s">
        <v>42</v>
      </c>
      <c r="T37" s="550" t="s">
        <v>30</v>
      </c>
      <c r="U37" s="550" t="s">
        <v>32</v>
      </c>
      <c r="V37" s="550" t="s">
        <v>33</v>
      </c>
      <c r="W37" s="550" t="s">
        <v>34</v>
      </c>
      <c r="X37" s="550" t="s">
        <v>35</v>
      </c>
      <c r="Y37" s="550" t="s">
        <v>36</v>
      </c>
      <c r="Z37" s="550" t="s">
        <v>37</v>
      </c>
      <c r="AA37" s="550" t="s">
        <v>43</v>
      </c>
      <c r="AB37" s="563" t="s">
        <v>77</v>
      </c>
      <c r="AC37" s="550" t="s">
        <v>78</v>
      </c>
      <c r="AD37"/>
      <c r="AE37"/>
      <c r="AF37"/>
    </row>
    <row r="38" spans="15:32" ht="7.5" customHeight="1">
      <c r="O38" s="558"/>
      <c r="P38" s="551"/>
      <c r="Q38" s="561"/>
      <c r="R38" s="561"/>
      <c r="S38" s="561"/>
      <c r="T38" s="551"/>
      <c r="U38" s="551"/>
      <c r="V38" s="551"/>
      <c r="W38" s="551"/>
      <c r="X38" s="551"/>
      <c r="Y38" s="551"/>
      <c r="Z38" s="551"/>
      <c r="AA38" s="551"/>
      <c r="AB38" s="563"/>
      <c r="AC38" s="551"/>
      <c r="AD38"/>
      <c r="AE38"/>
      <c r="AF38"/>
    </row>
    <row r="39" spans="15:32" ht="12" customHeight="1">
      <c r="O39" s="559"/>
      <c r="P39" s="552"/>
      <c r="Q39" s="562"/>
      <c r="R39" s="562"/>
      <c r="S39" s="562"/>
      <c r="T39" s="552"/>
      <c r="U39" s="552"/>
      <c r="V39" s="552"/>
      <c r="W39" s="552"/>
      <c r="X39" s="552"/>
      <c r="Y39" s="552"/>
      <c r="Z39" s="552"/>
      <c r="AA39" s="552"/>
      <c r="AB39" s="563"/>
      <c r="AC39" s="552"/>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163"/>
      <c r="G44" s="163"/>
      <c r="H44" s="163"/>
      <c r="I44" s="163"/>
      <c r="J44" s="163"/>
      <c r="K44" s="163"/>
      <c r="L44" s="163"/>
      <c r="M44" s="163"/>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163"/>
      <c r="G45" s="163"/>
      <c r="H45" s="163"/>
      <c r="I45" s="163"/>
      <c r="J45" s="163"/>
      <c r="K45" s="163"/>
      <c r="L45" s="163"/>
      <c r="M45" s="163"/>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163"/>
      <c r="G46" s="163"/>
      <c r="H46" s="163"/>
      <c r="I46" s="163"/>
      <c r="J46" s="163"/>
      <c r="K46" s="163"/>
      <c r="L46" s="163"/>
      <c r="M46" s="163"/>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163"/>
      <c r="G47" s="163"/>
      <c r="H47" s="163"/>
      <c r="I47" s="163"/>
      <c r="J47" s="163"/>
      <c r="K47" s="163"/>
      <c r="L47" s="163"/>
      <c r="M47" s="163"/>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163"/>
      <c r="G48" s="163"/>
      <c r="H48" s="163"/>
      <c r="I48" s="163"/>
      <c r="J48" s="163"/>
      <c r="K48" s="163"/>
      <c r="L48" s="163"/>
      <c r="M48" s="163"/>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163"/>
      <c r="G49" s="163"/>
      <c r="H49" s="163"/>
      <c r="I49" s="163"/>
      <c r="J49" s="163"/>
      <c r="K49" s="163"/>
      <c r="L49" s="163"/>
      <c r="M49" s="163"/>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75">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75">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75">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75">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75">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75">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75">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75">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 aca="true" t="shared" si="1" ref="AA63:AA75">AB63*AC63*12</f>
        <v>1130640</v>
      </c>
      <c r="AB63" s="94">
        <v>23555</v>
      </c>
      <c r="AC63" s="94">
        <v>4</v>
      </c>
      <c r="AD63"/>
      <c r="AE63"/>
      <c r="AF63"/>
    </row>
    <row r="64" spans="15:32" ht="12.75">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t="shared" si="1"/>
        <v>1707048</v>
      </c>
      <c r="AB64" s="94">
        <v>23709</v>
      </c>
      <c r="AC64" s="94">
        <v>6</v>
      </c>
      <c r="AD64"/>
      <c r="AE64"/>
      <c r="AF64"/>
    </row>
    <row r="65" spans="15:32" ht="12.75">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75">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 aca="true" t="shared" si="2" ref="AB69:AB74">MAX(CEILING(R67*S67,1),AB68)</f>
        <v>26611</v>
      </c>
      <c r="AC69" s="94">
        <v>4</v>
      </c>
      <c r="AE69"/>
      <c r="AF69"/>
    </row>
    <row r="70" spans="15:32" ht="12.75">
      <c r="O70" s="293">
        <v>2016</v>
      </c>
      <c r="P70" s="293">
        <f t="shared" si="0"/>
        <v>1</v>
      </c>
      <c r="Q70" s="294">
        <f>IF(ISBLANK('Důchodová a věková kalkulačka'!B88),0,CEILING(MIN('Důchodová a věková kalkulačka'!B88,AA70)*P70,1))</f>
        <v>0</v>
      </c>
      <c r="R70" s="293">
        <v>28250</v>
      </c>
      <c r="S70" s="295">
        <v>1.0612</v>
      </c>
      <c r="T70" s="296">
        <f>CEILING($AB70*0.09,10)</f>
        <v>2440</v>
      </c>
      <c r="U70" s="297">
        <f aca="true" t="shared" si="3" ref="U70:U84">CEILING($AB70*0.44,1)</f>
        <v>11883</v>
      </c>
      <c r="V70" s="297">
        <f aca="true" t="shared" si="4" ref="V70:V84">CEILING($AB70*4,1)</f>
        <v>108024</v>
      </c>
      <c r="W70" s="297"/>
      <c r="X70" s="297">
        <v>0.26</v>
      </c>
      <c r="Y70" s="297">
        <v>0</v>
      </c>
      <c r="Z70" s="297">
        <v>0</v>
      </c>
      <c r="AA70" s="298">
        <f t="shared" si="1"/>
        <v>1296288</v>
      </c>
      <c r="AB70" s="299">
        <f t="shared" si="2"/>
        <v>27006</v>
      </c>
      <c r="AC70" s="300">
        <v>4</v>
      </c>
      <c r="AE70"/>
      <c r="AF70"/>
    </row>
    <row r="71" spans="15:32" ht="12.75">
      <c r="O71" s="296">
        <v>2017</v>
      </c>
      <c r="P71" s="313">
        <f t="shared" si="0"/>
        <v>1</v>
      </c>
      <c r="Q71" s="294">
        <f>IF(ISBLANK('Důchodová a věková kalkulačka'!B89),0,CEILING(MIN('Důchodová a věková kalkulačka'!B89,AA71)*P71,1))</f>
        <v>0</v>
      </c>
      <c r="R71" s="313">
        <v>30156</v>
      </c>
      <c r="S71" s="295">
        <v>1.0843</v>
      </c>
      <c r="T71" s="296">
        <f>CEILING($AB71*0.09,10)</f>
        <v>2550</v>
      </c>
      <c r="U71" s="297">
        <f t="shared" si="3"/>
        <v>12423</v>
      </c>
      <c r="V71" s="297">
        <f t="shared" si="4"/>
        <v>112928</v>
      </c>
      <c r="W71" s="297"/>
      <c r="X71" s="297">
        <v>0.26</v>
      </c>
      <c r="Y71" s="315">
        <v>0</v>
      </c>
      <c r="Z71" s="297">
        <v>0</v>
      </c>
      <c r="AA71" s="298">
        <f t="shared" si="1"/>
        <v>1355136</v>
      </c>
      <c r="AB71" s="299">
        <f t="shared" si="2"/>
        <v>28232</v>
      </c>
      <c r="AC71" s="300">
        <v>4</v>
      </c>
      <c r="AE71"/>
      <c r="AF71"/>
    </row>
    <row r="72" spans="15:32" ht="12.75">
      <c r="O72" s="317">
        <v>2018</v>
      </c>
      <c r="P72" s="317">
        <f t="shared" si="0"/>
        <v>1</v>
      </c>
      <c r="Q72" s="294">
        <f>IF(ISBLANK('Důchodová a věková kalkulačka'!B90),0,CEILING(MIN('Důchodová a věková kalkulačka'!B90,AA72)*P72,1))</f>
        <v>0</v>
      </c>
      <c r="R72" s="317">
        <v>32510</v>
      </c>
      <c r="S72" s="295">
        <v>1.0715</v>
      </c>
      <c r="T72" s="296">
        <f>CEILING($AB72*0.09,10)</f>
        <v>2700</v>
      </c>
      <c r="U72" s="297">
        <f t="shared" si="3"/>
        <v>13191</v>
      </c>
      <c r="V72" s="297">
        <f t="shared" si="4"/>
        <v>119916</v>
      </c>
      <c r="W72" s="297"/>
      <c r="X72" s="297">
        <v>0.26</v>
      </c>
      <c r="Y72" s="315">
        <v>0</v>
      </c>
      <c r="Z72" s="297">
        <v>0</v>
      </c>
      <c r="AA72" s="298">
        <f t="shared" si="1"/>
        <v>1438992</v>
      </c>
      <c r="AB72" s="299">
        <f t="shared" si="2"/>
        <v>29979</v>
      </c>
      <c r="AC72" s="300">
        <v>4</v>
      </c>
      <c r="AE72"/>
      <c r="AF72"/>
    </row>
    <row r="73" spans="15:32" ht="12.75">
      <c r="O73" s="296">
        <v>2019</v>
      </c>
      <c r="P73" s="328">
        <f t="shared" si="0"/>
        <v>1</v>
      </c>
      <c r="Q73" s="294">
        <f>IF(ISBLANK('Důchodová a věková kalkulačka'!B91),0,CEILING(MIN('Důchodová a věková kalkulačka'!B91,AA73)*P73,1))</f>
        <v>0</v>
      </c>
      <c r="R73" s="334">
        <v>34766</v>
      </c>
      <c r="S73" s="295">
        <v>1.0194</v>
      </c>
      <c r="T73" s="296">
        <f aca="true" t="shared" si="5" ref="T73:T84">CEILING($AB73*0.1,10)</f>
        <v>3270</v>
      </c>
      <c r="U73" s="297">
        <f t="shared" si="3"/>
        <v>14388</v>
      </c>
      <c r="V73" s="297">
        <f t="shared" si="4"/>
        <v>130796</v>
      </c>
      <c r="W73" s="297"/>
      <c r="X73" s="297">
        <v>0.26</v>
      </c>
      <c r="Y73" s="315">
        <v>0</v>
      </c>
      <c r="Z73" s="297">
        <v>0</v>
      </c>
      <c r="AA73" s="298">
        <f t="shared" si="1"/>
        <v>1569552</v>
      </c>
      <c r="AB73" s="299">
        <f t="shared" si="2"/>
        <v>32699</v>
      </c>
      <c r="AC73" s="300">
        <v>4</v>
      </c>
      <c r="AE73"/>
      <c r="AF73"/>
    </row>
    <row r="74" spans="15:32" ht="12.75">
      <c r="O74" s="337">
        <v>2020</v>
      </c>
      <c r="P74" s="337">
        <f t="shared" si="0"/>
        <v>1</v>
      </c>
      <c r="Q74" s="294">
        <f>IF(ISBLANK('Důchodová a věková kalkulačka'!B92),0,CEILING(MIN('Důchodová a věková kalkulačka'!B92,AA74)*P74,1))</f>
        <v>0</v>
      </c>
      <c r="R74" s="337">
        <v>36119</v>
      </c>
      <c r="S74" s="295">
        <v>1.0773</v>
      </c>
      <c r="T74" s="296">
        <f t="shared" si="5"/>
        <v>3490</v>
      </c>
      <c r="U74" s="297">
        <f t="shared" si="3"/>
        <v>15328</v>
      </c>
      <c r="V74" s="297">
        <f t="shared" si="4"/>
        <v>139340</v>
      </c>
      <c r="W74" s="297"/>
      <c r="X74" s="297">
        <v>0.26</v>
      </c>
      <c r="Y74" s="297">
        <v>0</v>
      </c>
      <c r="Z74" s="297">
        <v>0</v>
      </c>
      <c r="AA74" s="298">
        <f t="shared" si="1"/>
        <v>1672080</v>
      </c>
      <c r="AB74" s="299">
        <f t="shared" si="2"/>
        <v>34835</v>
      </c>
      <c r="AC74" s="300">
        <v>4</v>
      </c>
      <c r="AD74" s="8"/>
      <c r="AE74"/>
      <c r="AF74"/>
    </row>
    <row r="75" spans="15:32" ht="12.75">
      <c r="O75" s="348">
        <v>2021</v>
      </c>
      <c r="P75" s="348">
        <f t="shared" si="0"/>
        <v>1</v>
      </c>
      <c r="Q75" s="294">
        <f>IF(ISBLANK('Důchodová a věková kalkulačka'!B93),0,CEILING(MIN('Důchodová a věková kalkulačka'!B93,AA75)*P75,1))</f>
        <v>0</v>
      </c>
      <c r="R75" s="348">
        <v>38294</v>
      </c>
      <c r="S75" s="295">
        <v>1.053</v>
      </c>
      <c r="T75" s="296">
        <f t="shared" si="5"/>
        <v>3550</v>
      </c>
      <c r="U75" s="297">
        <f t="shared" si="3"/>
        <v>15595</v>
      </c>
      <c r="V75" s="297">
        <f t="shared" si="4"/>
        <v>141764</v>
      </c>
      <c r="W75" s="297"/>
      <c r="X75" s="297">
        <v>0.26</v>
      </c>
      <c r="Y75" s="297">
        <v>0</v>
      </c>
      <c r="Z75" s="297">
        <v>0</v>
      </c>
      <c r="AA75" s="298">
        <f t="shared" si="1"/>
        <v>1701168</v>
      </c>
      <c r="AB75" s="299">
        <f aca="true" t="shared" si="6" ref="AB75:AB80">MAX(CEILING(R73*S73,1),AB74)</f>
        <v>35441</v>
      </c>
      <c r="AC75" s="300">
        <v>4</v>
      </c>
      <c r="AD75" s="8"/>
      <c r="AE75"/>
      <c r="AF75"/>
    </row>
    <row r="76" spans="15:32" ht="12.75">
      <c r="O76" s="378">
        <v>2022</v>
      </c>
      <c r="P76" s="378">
        <f aca="true" t="shared" si="7" ref="P76:P81">IF(O76&gt;=(YEAR(datprizn)-1),1,ROUND($Q$20/R76,4))</f>
        <v>1</v>
      </c>
      <c r="Q76" s="294">
        <f>IF(ISBLANK('Důchodová a věková kalkulačka'!B94),0,CEILING(MIN('Důchodová a věková kalkulačka'!B94,AA76)*P76,1))</f>
        <v>0</v>
      </c>
      <c r="R76" s="378">
        <v>40638</v>
      </c>
      <c r="S76" s="295">
        <v>1.0819</v>
      </c>
      <c r="T76" s="296">
        <f t="shared" si="5"/>
        <v>3900</v>
      </c>
      <c r="U76" s="297">
        <f t="shared" si="3"/>
        <v>17121</v>
      </c>
      <c r="V76" s="297">
        <f t="shared" si="4"/>
        <v>155644</v>
      </c>
      <c r="W76" s="297"/>
      <c r="X76" s="297">
        <v>0.26</v>
      </c>
      <c r="Y76" s="297">
        <v>0</v>
      </c>
      <c r="Z76" s="297">
        <v>0</v>
      </c>
      <c r="AA76" s="298">
        <f aca="true" t="shared" si="8" ref="AA76:AA81">AB76*AC76*12</f>
        <v>1867728</v>
      </c>
      <c r="AB76" s="299">
        <f t="shared" si="6"/>
        <v>38911</v>
      </c>
      <c r="AC76" s="300">
        <v>4</v>
      </c>
      <c r="AD76" s="8"/>
      <c r="AE76"/>
      <c r="AF76"/>
    </row>
    <row r="77" spans="15:32" ht="13.5" thickBot="1">
      <c r="O77" s="99">
        <v>2023</v>
      </c>
      <c r="P77" s="99">
        <f t="shared" si="7"/>
        <v>1</v>
      </c>
      <c r="Q77" s="100">
        <f>IF(ISBLANK('Důchodová a věková kalkulačka'!B95),0,CEILING(MIN('Důchodová a věková kalkulačka'!B95,AA77)*P77,1))</f>
        <v>0</v>
      </c>
      <c r="R77" s="99">
        <v>41500</v>
      </c>
      <c r="S77" s="101">
        <v>1.0945</v>
      </c>
      <c r="T77" s="98">
        <f t="shared" si="5"/>
        <v>4040</v>
      </c>
      <c r="U77" s="102">
        <f t="shared" si="3"/>
        <v>17743</v>
      </c>
      <c r="V77" s="102">
        <f t="shared" si="4"/>
        <v>161296</v>
      </c>
      <c r="W77" s="102"/>
      <c r="X77" s="102">
        <v>0.26</v>
      </c>
      <c r="Y77" s="102">
        <v>0</v>
      </c>
      <c r="Z77" s="102">
        <v>0</v>
      </c>
      <c r="AA77" s="102">
        <f t="shared" si="8"/>
        <v>1935552</v>
      </c>
      <c r="AB77" s="103">
        <f t="shared" si="6"/>
        <v>40324</v>
      </c>
      <c r="AC77" s="291">
        <v>4</v>
      </c>
      <c r="AD77" s="8"/>
      <c r="AE77"/>
      <c r="AF77"/>
    </row>
    <row r="78" spans="15:32" ht="12.75">
      <c r="O78" s="379">
        <v>2024</v>
      </c>
      <c r="P78" s="379">
        <f t="shared" si="7"/>
        <v>1</v>
      </c>
      <c r="Q78" s="96">
        <f>IF(ISBLANK('Důchodová a věková kalkulačka'!B96),0,CEILING(MIN('Důchodová a věková kalkulačka'!B96,AA78)*P78,1))</f>
        <v>0</v>
      </c>
      <c r="R78" s="379">
        <v>42000</v>
      </c>
      <c r="S78" s="97">
        <v>1.0995</v>
      </c>
      <c r="T78" s="107">
        <f t="shared" si="5"/>
        <v>4400</v>
      </c>
      <c r="U78" s="92">
        <f t="shared" si="3"/>
        <v>19346</v>
      </c>
      <c r="V78" s="92">
        <f t="shared" si="4"/>
        <v>175868</v>
      </c>
      <c r="W78" s="92"/>
      <c r="X78" s="92">
        <v>0.26</v>
      </c>
      <c r="Y78" s="92">
        <v>0</v>
      </c>
      <c r="Z78" s="92">
        <v>0</v>
      </c>
      <c r="AA78" s="104">
        <f t="shared" si="8"/>
        <v>2110416</v>
      </c>
      <c r="AB78" s="122">
        <f t="shared" si="6"/>
        <v>43967</v>
      </c>
      <c r="AC78" s="95">
        <v>4</v>
      </c>
      <c r="AD78" s="8"/>
      <c r="AE78"/>
      <c r="AF78"/>
    </row>
    <row r="79" spans="15:32" ht="12.75">
      <c r="O79" s="61">
        <v>2025</v>
      </c>
      <c r="P79" s="61">
        <f t="shared" si="7"/>
        <v>1</v>
      </c>
      <c r="Q79" s="62">
        <f>IF(ISBLANK('Důchodová a věková kalkulačka'!B97),0,CEILING(MIN('Důchodová a věková kalkulačka'!B97,AA79)*P79,1))</f>
        <v>0</v>
      </c>
      <c r="R79" s="379">
        <v>42300</v>
      </c>
      <c r="S79" s="63">
        <v>1.1035</v>
      </c>
      <c r="T79" s="64">
        <f t="shared" si="5"/>
        <v>4550</v>
      </c>
      <c r="U79" s="60">
        <f t="shared" si="3"/>
        <v>19986</v>
      </c>
      <c r="V79" s="60">
        <f t="shared" si="4"/>
        <v>181688</v>
      </c>
      <c r="W79" s="60"/>
      <c r="X79" s="60">
        <v>0.26</v>
      </c>
      <c r="Y79" s="60">
        <v>0</v>
      </c>
      <c r="Z79" s="60">
        <v>0</v>
      </c>
      <c r="AA79" s="91">
        <f t="shared" si="8"/>
        <v>2180256</v>
      </c>
      <c r="AB79" s="94">
        <f t="shared" si="6"/>
        <v>45422</v>
      </c>
      <c r="AC79" s="93">
        <v>4</v>
      </c>
      <c r="AD79" s="8"/>
      <c r="AE79"/>
      <c r="AF79"/>
    </row>
    <row r="80" spans="15:32" ht="12.75">
      <c r="O80" s="61">
        <v>2026</v>
      </c>
      <c r="P80" s="61">
        <f t="shared" si="7"/>
        <v>1</v>
      </c>
      <c r="Q80" s="62">
        <f>IF(ISBLANK('Důchodová a věková kalkulačka'!B98),0,CEILING(MIN('Důchodová a věková kalkulačka'!B98,AA80)*P80,1))</f>
        <v>0</v>
      </c>
      <c r="R80" s="379">
        <v>42500</v>
      </c>
      <c r="S80" s="63">
        <v>1.1075</v>
      </c>
      <c r="T80" s="64">
        <f t="shared" si="5"/>
        <v>4620</v>
      </c>
      <c r="U80" s="60">
        <f t="shared" si="3"/>
        <v>20319</v>
      </c>
      <c r="V80" s="60">
        <f t="shared" si="4"/>
        <v>184716</v>
      </c>
      <c r="W80" s="60"/>
      <c r="X80" s="60">
        <v>0.26</v>
      </c>
      <c r="Y80" s="60">
        <v>0</v>
      </c>
      <c r="Z80" s="60">
        <v>0</v>
      </c>
      <c r="AA80" s="91">
        <f t="shared" si="8"/>
        <v>2216592</v>
      </c>
      <c r="AB80" s="94">
        <f t="shared" si="6"/>
        <v>46179</v>
      </c>
      <c r="AC80" s="93">
        <v>4</v>
      </c>
      <c r="AD80" s="8"/>
      <c r="AE80"/>
      <c r="AF80"/>
    </row>
    <row r="81" spans="15:32" ht="12.75">
      <c r="O81" s="61">
        <v>2027</v>
      </c>
      <c r="P81" s="61">
        <f t="shared" si="7"/>
        <v>1</v>
      </c>
      <c r="Q81" s="62">
        <f>IF(ISBLANK('Důchodová a věková kalkulačka'!B99),0,CEILING(MIN('Důchodová a věková kalkulačka'!B99,AA81)*P81,1))</f>
        <v>0</v>
      </c>
      <c r="R81" s="379">
        <v>42600</v>
      </c>
      <c r="S81" s="63">
        <v>1.1085</v>
      </c>
      <c r="T81" s="64">
        <f t="shared" si="5"/>
        <v>4670</v>
      </c>
      <c r="U81" s="60">
        <f t="shared" si="3"/>
        <v>20539</v>
      </c>
      <c r="V81" s="60">
        <f t="shared" si="4"/>
        <v>186716</v>
      </c>
      <c r="W81" s="60"/>
      <c r="X81" s="60">
        <v>0.26</v>
      </c>
      <c r="Y81" s="60">
        <v>0</v>
      </c>
      <c r="Z81" s="60">
        <v>0</v>
      </c>
      <c r="AA81" s="91">
        <f t="shared" si="8"/>
        <v>2240592</v>
      </c>
      <c r="AB81" s="94">
        <f>MAX(CEILING(R79*S79,1),AB80)</f>
        <v>46679</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79">
        <v>42600</v>
      </c>
      <c r="S82" s="63">
        <v>1.1085</v>
      </c>
      <c r="T82" s="64">
        <f t="shared" si="5"/>
        <v>4710</v>
      </c>
      <c r="U82" s="60">
        <f t="shared" si="3"/>
        <v>20711</v>
      </c>
      <c r="V82" s="60">
        <f t="shared" si="4"/>
        <v>188276</v>
      </c>
      <c r="W82" s="60"/>
      <c r="X82" s="60">
        <v>0.26</v>
      </c>
      <c r="Y82" s="60">
        <v>0</v>
      </c>
      <c r="Z82" s="60">
        <v>0</v>
      </c>
      <c r="AA82" s="91">
        <f>AB82*AC82*12</f>
        <v>2259312</v>
      </c>
      <c r="AB82" s="94">
        <f>MAX(CEILING(R80*S80,1),AB81)</f>
        <v>47069</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79">
        <v>42600</v>
      </c>
      <c r="S83" s="63">
        <v>1.1085</v>
      </c>
      <c r="T83" s="64">
        <f t="shared" si="5"/>
        <v>4730</v>
      </c>
      <c r="U83" s="60">
        <f t="shared" si="3"/>
        <v>20779</v>
      </c>
      <c r="V83" s="60">
        <f t="shared" si="4"/>
        <v>188892</v>
      </c>
      <c r="W83" s="60"/>
      <c r="X83" s="60">
        <v>0.26</v>
      </c>
      <c r="Y83" s="60">
        <v>0</v>
      </c>
      <c r="Z83" s="60">
        <v>0</v>
      </c>
      <c r="AA83" s="91">
        <f>AB83*AC83*12</f>
        <v>2266704</v>
      </c>
      <c r="AB83" s="94">
        <f>MAX(CEILING(R81*S81,1),AB82)</f>
        <v>47223</v>
      </c>
      <c r="AC83" s="93">
        <v>4</v>
      </c>
      <c r="AD83" s="8"/>
      <c r="AE83"/>
      <c r="AF83"/>
    </row>
    <row r="84" spans="15:32" ht="12.75">
      <c r="O84" s="61">
        <v>2030</v>
      </c>
      <c r="P84" s="61">
        <f>IF(O84&gt;=(YEAR(datprizn)-1),1,ROUND($Q$20/R84,4))</f>
        <v>1</v>
      </c>
      <c r="Q84" s="62">
        <f>IF(ISBLANK('Důchodová a věková kalkulačka'!B102),0,CEILING(MIN('Důchodová a věková kalkulačka'!B102,AA84)*P84,1))</f>
        <v>0</v>
      </c>
      <c r="R84" s="379">
        <v>42600</v>
      </c>
      <c r="S84" s="63">
        <v>1.1085</v>
      </c>
      <c r="T84" s="64">
        <f t="shared" si="5"/>
        <v>4730</v>
      </c>
      <c r="U84" s="60">
        <f t="shared" si="3"/>
        <v>20779</v>
      </c>
      <c r="V84" s="60">
        <f t="shared" si="4"/>
        <v>188892</v>
      </c>
      <c r="W84" s="60"/>
      <c r="X84" s="60">
        <v>0.26</v>
      </c>
      <c r="Y84" s="60">
        <v>0</v>
      </c>
      <c r="Z84" s="60">
        <v>0</v>
      </c>
      <c r="AA84" s="91">
        <f>AB84*AC84*12</f>
        <v>2266704</v>
      </c>
      <c r="AB84" s="94">
        <f>MAX(CEILING(R82*S82,1),AB83)</f>
        <v>47223</v>
      </c>
      <c r="AC84" s="93">
        <v>4</v>
      </c>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password="DA50"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20">
    <cfRule type="expression" priority="19" dxfId="99">
      <formula>YEAR($I$10)&gt;1974</formula>
    </cfRule>
  </conditionalFormatting>
  <conditionalFormatting sqref="P20">
    <cfRule type="expression" priority="20" dxfId="35" stopIfTrue="1">
      <formula>$D$6=2011</formula>
    </cfRule>
    <cfRule type="expression" priority="21" dxfId="108" stopIfTrue="1">
      <formula>$D$6&lt;&gt;2011</formula>
    </cfRule>
  </conditionalFormatting>
  <conditionalFormatting sqref="AB62:AC68 AC69 AB69:AB76">
    <cfRule type="expression" priority="18" dxfId="16" stopIfTrue="1">
      <formula>RP&lt;1996</formula>
    </cfRule>
  </conditionalFormatting>
  <conditionalFormatting sqref="AB62:AC68 AC69 AB69:AB76">
    <cfRule type="expression" priority="17" dxfId="16" stopIfTrue="1">
      <formula>OR($F62&gt;RP,$F62=0)</formula>
    </cfRule>
  </conditionalFormatting>
  <conditionalFormatting sqref="AB77">
    <cfRule type="expression" priority="16" dxfId="16" stopIfTrue="1">
      <formula>RP&lt;1996</formula>
    </cfRule>
  </conditionalFormatting>
  <conditionalFormatting sqref="AB77">
    <cfRule type="expression" priority="15" dxfId="16" stopIfTrue="1">
      <formula>OR($F77&gt;RP,$F77=0)</formula>
    </cfRule>
  </conditionalFormatting>
  <conditionalFormatting sqref="AB78">
    <cfRule type="expression" priority="14" dxfId="16" stopIfTrue="1">
      <formula>RP&lt;1996</formula>
    </cfRule>
  </conditionalFormatting>
  <conditionalFormatting sqref="AB78">
    <cfRule type="expression" priority="13" dxfId="16" stopIfTrue="1">
      <formula>OR($F78&gt;RP,$F78=0)</formula>
    </cfRule>
  </conditionalFormatting>
  <conditionalFormatting sqref="AB79">
    <cfRule type="expression" priority="12" dxfId="16" stopIfTrue="1">
      <formula>RP&lt;1996</formula>
    </cfRule>
  </conditionalFormatting>
  <conditionalFormatting sqref="AB79">
    <cfRule type="expression" priority="11" dxfId="16" stopIfTrue="1">
      <formula>OR($F79&gt;RP,$F79=0)</formula>
    </cfRule>
  </conditionalFormatting>
  <conditionalFormatting sqref="AB80">
    <cfRule type="expression" priority="10" dxfId="16" stopIfTrue="1">
      <formula>RP&lt;1996</formula>
    </cfRule>
  </conditionalFormatting>
  <conditionalFormatting sqref="AB80">
    <cfRule type="expression" priority="9" dxfId="16" stopIfTrue="1">
      <formula>OR($F80&gt;RP,$F80=0)</formula>
    </cfRule>
  </conditionalFormatting>
  <conditionalFormatting sqref="AB81">
    <cfRule type="expression" priority="8" dxfId="16" stopIfTrue="1">
      <formula>RP&lt;1996</formula>
    </cfRule>
  </conditionalFormatting>
  <conditionalFormatting sqref="AB81">
    <cfRule type="expression" priority="7" dxfId="16" stopIfTrue="1">
      <formula>OR($F81&gt;RP,$F81=0)</formula>
    </cfRule>
  </conditionalFormatting>
  <conditionalFormatting sqref="AB82">
    <cfRule type="expression" priority="6" dxfId="16" stopIfTrue="1">
      <formula>RP&lt;1996</formula>
    </cfRule>
  </conditionalFormatting>
  <conditionalFormatting sqref="AB82">
    <cfRule type="expression" priority="5" dxfId="16" stopIfTrue="1">
      <formula>OR($F82&gt;RP,$F82=0)</formula>
    </cfRule>
  </conditionalFormatting>
  <conditionalFormatting sqref="AB83">
    <cfRule type="expression" priority="4" dxfId="16" stopIfTrue="1">
      <formula>RP&lt;1996</formula>
    </cfRule>
  </conditionalFormatting>
  <conditionalFormatting sqref="AB83">
    <cfRule type="expression" priority="3" dxfId="16" stopIfTrue="1">
      <formula>OR($F83&gt;RP,$F83=0)</formula>
    </cfRule>
  </conditionalFormatting>
  <conditionalFormatting sqref="AB84">
    <cfRule type="expression" priority="2" dxfId="16" stopIfTrue="1">
      <formula>RP&lt;1996</formula>
    </cfRule>
  </conditionalFormatting>
  <conditionalFormatting sqref="AB84">
    <cfRule type="expression" priority="1" dxfId="16" stopIfTrue="1">
      <formula>OR($F84&gt;RP,$F84=0)</formula>
    </cfRule>
  </conditionalFormatting>
  <printOptions/>
  <pageMargins left="0.7" right="0.7" top="0.787401575" bottom="0.7874015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F99"/>
  <sheetViews>
    <sheetView showGridLines="0" showRowColHeaders="0" zoomScalePageLayoutView="0" workbookViewId="0" topLeftCell="A1">
      <selection activeCell="C4" sqref="C4:D4"/>
    </sheetView>
  </sheetViews>
  <sheetFormatPr defaultColWidth="9.140625" defaultRowHeight="12.75"/>
  <cols>
    <col min="2" max="2" width="7.421875" style="0" customWidth="1"/>
    <col min="3" max="3" width="6.57421875" style="0" customWidth="1"/>
    <col min="4" max="4" width="8.57421875" style="0" customWidth="1"/>
    <col min="5" max="5" width="7.28125" style="0" customWidth="1"/>
    <col min="6" max="6" width="4.00390625" style="0" bestFit="1" customWidth="1"/>
    <col min="7" max="7" width="7.57421875" style="0" bestFit="1" customWidth="1"/>
    <col min="8" max="8" width="6.8515625" style="0" customWidth="1"/>
    <col min="9" max="9" width="8.140625" style="0" customWidth="1"/>
    <col min="10" max="10" width="8.00390625" style="0" bestFit="1" customWidth="1"/>
    <col min="11" max="11" width="3.00390625" style="0" customWidth="1"/>
    <col min="12" max="12" width="9.7109375" style="0" customWidth="1"/>
    <col min="13" max="13" width="3.7109375" style="0" customWidth="1"/>
    <col min="14" max="14" width="9.140625" style="0" hidden="1" customWidth="1"/>
    <col min="15" max="15" width="9.140625" style="5" hidden="1" customWidth="1"/>
    <col min="16" max="17" width="11.140625" style="5" hidden="1" customWidth="1"/>
    <col min="18" max="18" width="14.28125" style="5" hidden="1" customWidth="1"/>
    <col min="19" max="19" width="11.7109375" style="5" hidden="1" customWidth="1"/>
    <col min="20" max="20" width="13.421875" style="5" hidden="1" customWidth="1"/>
    <col min="21" max="26" width="9.140625" style="5" hidden="1" customWidth="1"/>
    <col min="27" max="27" width="8.8515625" style="5" hidden="1" customWidth="1"/>
    <col min="28" max="28" width="9.140625" style="5" hidden="1" customWidth="1"/>
    <col min="29" max="29" width="4.28125" style="5" hidden="1" customWidth="1"/>
    <col min="30" max="30" width="9.140625" style="5" hidden="1" customWidth="1"/>
    <col min="31" max="32" width="9.140625" style="5" customWidth="1"/>
  </cols>
  <sheetData>
    <row r="1" spans="1:29" ht="13.5" thickBot="1">
      <c r="A1" s="448" t="s">
        <v>88</v>
      </c>
      <c r="B1" s="448"/>
      <c r="C1" s="448"/>
      <c r="D1" s="448"/>
      <c r="E1" s="448"/>
      <c r="F1" s="448"/>
      <c r="G1" s="448"/>
      <c r="H1" s="448"/>
      <c r="I1" s="448"/>
      <c r="J1" s="86" t="str">
        <f>IF(ISBLANK(datprizn)," ",YEAR(datprizn))</f>
        <v> </v>
      </c>
      <c r="K1" s="87"/>
      <c r="L1" s="87"/>
      <c r="M1" s="87"/>
      <c r="O1" s="11"/>
      <c r="P1" s="11"/>
      <c r="Q1" s="11"/>
      <c r="R1" s="11"/>
      <c r="S1" s="11"/>
      <c r="T1" s="11"/>
      <c r="U1" s="11"/>
      <c r="V1" s="11"/>
      <c r="W1" s="11"/>
      <c r="X1" s="11"/>
      <c r="Y1" s="11"/>
      <c r="Z1" s="11"/>
      <c r="AA1" s="11"/>
      <c r="AB1" s="11"/>
      <c r="AC1" s="8"/>
    </row>
    <row r="2" spans="1:29" ht="12" customHeight="1">
      <c r="A2" s="57"/>
      <c r="B2" s="57"/>
      <c r="C2" s="57"/>
      <c r="D2" s="57"/>
      <c r="E2" s="57"/>
      <c r="F2" s="57"/>
      <c r="G2" s="57"/>
      <c r="H2" s="57"/>
      <c r="I2" s="57"/>
      <c r="J2" s="33"/>
      <c r="K2" s="35"/>
      <c r="L2" s="35"/>
      <c r="M2" s="35"/>
      <c r="O2" s="11"/>
      <c r="P2" s="11"/>
      <c r="Q2" s="11"/>
      <c r="R2" s="11"/>
      <c r="S2" s="11"/>
      <c r="T2" s="11"/>
      <c r="U2" s="11"/>
      <c r="V2" s="11"/>
      <c r="W2" s="11"/>
      <c r="X2" s="11"/>
      <c r="Y2" s="11"/>
      <c r="Z2" s="11"/>
      <c r="AA2" s="11"/>
      <c r="AB2" s="11"/>
      <c r="AC2" s="8"/>
    </row>
    <row r="3" spans="15:29" ht="7.5" customHeight="1">
      <c r="O3" s="11"/>
      <c r="P3" s="11"/>
      <c r="Q3" s="11"/>
      <c r="R3" s="11"/>
      <c r="S3" s="11"/>
      <c r="T3" s="11"/>
      <c r="U3" s="11"/>
      <c r="V3" s="11"/>
      <c r="W3" s="11"/>
      <c r="X3" s="11"/>
      <c r="Y3" s="11"/>
      <c r="Z3" s="11"/>
      <c r="AA3" s="11"/>
      <c r="AB3" s="11"/>
      <c r="AC3" s="8"/>
    </row>
    <row r="4" spans="1:29" ht="12" customHeight="1">
      <c r="A4" t="s">
        <v>44</v>
      </c>
      <c r="C4" s="545" t="str">
        <f>narokst</f>
        <v> </v>
      </c>
      <c r="D4" s="546"/>
      <c r="O4" s="11"/>
      <c r="P4" s="11"/>
      <c r="Q4" s="11"/>
      <c r="R4" s="11"/>
      <c r="S4" s="11"/>
      <c r="T4" s="11"/>
      <c r="U4" s="11"/>
      <c r="V4" s="11"/>
      <c r="W4" s="11"/>
      <c r="X4" s="11"/>
      <c r="Y4" s="11"/>
      <c r="Z4" s="11"/>
      <c r="AA4" s="11"/>
      <c r="AB4" s="11"/>
      <c r="AC4" s="8"/>
    </row>
    <row r="5" spans="15:29" ht="7.5" customHeight="1">
      <c r="O5" s="11"/>
      <c r="P5" s="11"/>
      <c r="Q5" s="11"/>
      <c r="R5" s="11"/>
      <c r="S5" s="11"/>
      <c r="T5" s="39"/>
      <c r="U5" s="11"/>
      <c r="V5" s="11"/>
      <c r="W5" s="11"/>
      <c r="X5" s="11"/>
      <c r="Y5" s="11"/>
      <c r="Z5" s="11"/>
      <c r="AA5" s="11"/>
      <c r="AB5" s="11"/>
      <c r="AC5" s="8"/>
    </row>
    <row r="6" spans="1:29" ht="12" customHeight="1">
      <c r="A6" t="s">
        <v>50</v>
      </c>
      <c r="C6" s="545" t="str">
        <f>IF(ISBLANK(datprizn)," ",datprizn)</f>
        <v> </v>
      </c>
      <c r="D6" s="546"/>
      <c r="O6" s="11"/>
      <c r="P6" s="11"/>
      <c r="Q6" s="11"/>
      <c r="R6" s="11"/>
      <c r="S6" s="11"/>
      <c r="T6" s="39"/>
      <c r="U6" s="11"/>
      <c r="V6" s="11"/>
      <c r="W6" s="11"/>
      <c r="X6" s="11"/>
      <c r="Y6" s="11"/>
      <c r="Z6" s="11"/>
      <c r="AA6" s="11"/>
      <c r="AB6" s="11"/>
      <c r="AC6" s="8"/>
    </row>
    <row r="7" spans="15:29" ht="7.5" customHeight="1">
      <c r="O7" s="11"/>
      <c r="P7" s="11"/>
      <c r="Q7" s="11"/>
      <c r="R7" s="11"/>
      <c r="S7" s="11"/>
      <c r="T7" s="39"/>
      <c r="U7" s="11"/>
      <c r="V7" s="11"/>
      <c r="W7" s="11"/>
      <c r="X7" s="11"/>
      <c r="Y7" s="11"/>
      <c r="Z7" s="11"/>
      <c r="AA7" s="11"/>
      <c r="AB7" s="11"/>
      <c r="AC7" s="8"/>
    </row>
    <row r="8" spans="1:29" ht="12" customHeight="1">
      <c r="A8" t="s">
        <v>75</v>
      </c>
      <c r="C8" s="159">
        <f>(IF(pohlavi="žena",deti,0))</f>
        <v>0</v>
      </c>
      <c r="O8" s="11"/>
      <c r="P8" s="11" t="s">
        <v>39</v>
      </c>
      <c r="Q8" s="11"/>
      <c r="R8" s="11"/>
      <c r="S8" s="11"/>
      <c r="T8" s="121" t="e">
        <f ca="1">SUM(OFFSET(Q40,0,0,$P$20))</f>
        <v>#REF!</v>
      </c>
      <c r="U8" s="11"/>
      <c r="V8" s="11"/>
      <c r="W8" s="11"/>
      <c r="X8" s="44" t="s">
        <v>45</v>
      </c>
      <c r="Y8" s="11"/>
      <c r="Z8" s="11"/>
      <c r="AA8" s="11"/>
      <c r="AB8" s="11"/>
      <c r="AC8" s="8"/>
    </row>
    <row r="9" spans="3:32" s="59" customFormat="1" ht="7.5" customHeight="1">
      <c r="C9" s="58"/>
      <c r="D9" s="58"/>
      <c r="O9" s="11"/>
      <c r="P9" s="11"/>
      <c r="Q9" s="11"/>
      <c r="R9" s="11"/>
      <c r="S9" s="11"/>
      <c r="T9" s="39"/>
      <c r="U9" s="11"/>
      <c r="V9" s="11"/>
      <c r="W9" s="11"/>
      <c r="X9" s="44" t="s">
        <v>46</v>
      </c>
      <c r="Y9" s="11"/>
      <c r="Z9" s="11"/>
      <c r="AA9" s="11"/>
      <c r="AB9" s="11"/>
      <c r="AC9" s="8"/>
      <c r="AD9" s="5"/>
      <c r="AE9" s="5"/>
      <c r="AF9" s="5"/>
    </row>
    <row r="10" spans="1:29" ht="12" customHeight="1">
      <c r="A10" t="s">
        <v>71</v>
      </c>
      <c r="C10" s="58"/>
      <c r="D10" s="58"/>
      <c r="H10" s="157">
        <f>poclet</f>
        <v>0</v>
      </c>
      <c r="I10" s="43" t="s">
        <v>72</v>
      </c>
      <c r="J10" s="155">
        <f>procvym1</f>
        <v>0</v>
      </c>
      <c r="K10" t="s">
        <v>53</v>
      </c>
      <c r="L10" s="154">
        <f>IF(ISBLANK(datprizn),0,CEILING(vypoctzaklopt*procvym1,1))</f>
        <v>0</v>
      </c>
      <c r="M10" t="s">
        <v>56</v>
      </c>
      <c r="O10" s="11"/>
      <c r="P10" s="11" t="s">
        <v>38</v>
      </c>
      <c r="Q10" s="11"/>
      <c r="R10" s="11"/>
      <c r="S10" s="11"/>
      <c r="T10" s="121" t="e">
        <f ca="1">SUM(OFFSET('Důchodová a věková kalkulačka'!D58,0,0,$P$20))</f>
        <v>#REF!</v>
      </c>
      <c r="U10" s="11"/>
      <c r="V10" s="11"/>
      <c r="W10" s="11"/>
      <c r="X10" s="44"/>
      <c r="Y10" s="11"/>
      <c r="Z10" s="11"/>
      <c r="AA10" s="11"/>
      <c r="AB10" s="11"/>
      <c r="AC10" s="8"/>
    </row>
    <row r="11" spans="15:32" ht="7.5" customHeight="1">
      <c r="O11" s="10"/>
      <c r="P11" s="11"/>
      <c r="Q11" s="11"/>
      <c r="R11" s="11"/>
      <c r="S11" s="11"/>
      <c r="T11" s="39"/>
      <c r="U11" s="10"/>
      <c r="V11" s="10"/>
      <c r="W11" s="10"/>
      <c r="X11" s="10"/>
      <c r="Y11" s="10"/>
      <c r="Z11" s="10"/>
      <c r="AA11" s="10"/>
      <c r="AB11" s="10"/>
      <c r="AC11" s="7"/>
      <c r="AD11" s="7"/>
      <c r="AE11" s="7"/>
      <c r="AF11" s="7"/>
    </row>
    <row r="12" spans="1:29" ht="12" customHeight="1">
      <c r="A12" t="s">
        <v>51</v>
      </c>
      <c r="C12" s="115">
        <f>IF(ISBLANK(dnyponaroku),0,dnyponaroku)</f>
        <v>0</v>
      </c>
      <c r="D12" t="s">
        <v>66</v>
      </c>
      <c r="E12" s="47" t="s">
        <v>53</v>
      </c>
      <c r="F12" s="158">
        <f>IF(C12=0,0,doba1+doba2+doba3+doba4)</f>
        <v>0</v>
      </c>
      <c r="G12" t="s">
        <v>54</v>
      </c>
      <c r="H12" t="s">
        <v>55</v>
      </c>
      <c r="J12" s="155">
        <f>procvym2</f>
        <v>0</v>
      </c>
      <c r="K12" s="43" t="s">
        <v>53</v>
      </c>
      <c r="L12" s="154">
        <f>IF(ISBLANK(datprizn),0,CEILING(vypoctzaklopt*procvym2,1))</f>
        <v>0</v>
      </c>
      <c r="M12" t="s">
        <v>56</v>
      </c>
      <c r="O12" s="11"/>
      <c r="P12" s="11" t="s">
        <v>89</v>
      </c>
      <c r="Q12" s="11"/>
      <c r="R12" s="11"/>
      <c r="S12" s="11"/>
      <c r="T12" s="121">
        <f>DATE(YEAR(datprizn)-1,12,31)-DATE(1986,1,1)+1</f>
        <v>662550</v>
      </c>
      <c r="U12" s="11"/>
      <c r="V12" s="11"/>
      <c r="W12" s="11"/>
      <c r="X12" s="11"/>
      <c r="Y12" s="11"/>
      <c r="Z12" s="11"/>
      <c r="AA12" s="11"/>
      <c r="AB12" s="11"/>
      <c r="AC12" s="8"/>
    </row>
    <row r="13" spans="11:32" ht="7.5" customHeight="1">
      <c r="K13" s="43"/>
      <c r="O13" s="10"/>
      <c r="P13" s="11"/>
      <c r="Q13" s="11"/>
      <c r="R13" s="11"/>
      <c r="S13" s="11"/>
      <c r="T13" s="39"/>
      <c r="U13" s="10"/>
      <c r="V13" s="10"/>
      <c r="W13" s="10"/>
      <c r="X13" s="10"/>
      <c r="Y13" s="10"/>
      <c r="Z13" s="10"/>
      <c r="AA13" s="10"/>
      <c r="AB13" s="10"/>
      <c r="AC13" s="7"/>
      <c r="AD13" s="7"/>
      <c r="AE13" s="7"/>
      <c r="AF13" s="7"/>
    </row>
    <row r="14" spans="1:29" ht="12" customHeight="1">
      <c r="A14" t="s">
        <v>52</v>
      </c>
      <c r="C14" s="115">
        <f>IF(ISBLANK(datprizn),0,IF(datprizn-narokst&gt;0,0,datprizn-narokst))</f>
        <v>0</v>
      </c>
      <c r="D14" t="s">
        <v>66</v>
      </c>
      <c r="E14" s="43" t="s">
        <v>53</v>
      </c>
      <c r="F14" s="158">
        <f>IF(C14=0,0,predodch)</f>
        <v>0</v>
      </c>
      <c r="G14" t="s">
        <v>54</v>
      </c>
      <c r="H14" t="s">
        <v>55</v>
      </c>
      <c r="J14" s="155">
        <f>IF(ISBLANK(datprizn),0,procvym3)</f>
        <v>0</v>
      </c>
      <c r="K14" s="43" t="s">
        <v>53</v>
      </c>
      <c r="L14" s="154">
        <f>IF(ISBLANK(datprizn),0,-FLOOR(-vypoctzaklopt*procvym3,1))</f>
        <v>0</v>
      </c>
      <c r="M14" t="s">
        <v>56</v>
      </c>
      <c r="O14" s="11"/>
      <c r="P14" s="11" t="s">
        <v>85</v>
      </c>
      <c r="Q14" s="11"/>
      <c r="R14" s="11"/>
      <c r="S14" s="11"/>
      <c r="T14" s="121" t="e">
        <f>CEILING((T8*30.4167)/(dnyvrozh-souhrnvyloudob),1)</f>
        <v>#REF!</v>
      </c>
      <c r="U14" s="11"/>
      <c r="V14" s="11"/>
      <c r="W14" s="11"/>
      <c r="X14" s="11"/>
      <c r="Y14" s="11"/>
      <c r="Z14" s="11"/>
      <c r="AA14" s="11"/>
      <c r="AB14" s="11"/>
      <c r="AC14" s="8"/>
    </row>
    <row r="15" spans="2:29" ht="7.5" customHeight="1">
      <c r="B15" s="59"/>
      <c r="C15" s="59"/>
      <c r="D15" s="59"/>
      <c r="E15" s="68"/>
      <c r="F15" s="59"/>
      <c r="G15" s="59"/>
      <c r="H15" s="59"/>
      <c r="I15" s="59"/>
      <c r="J15" s="69"/>
      <c r="K15" s="70"/>
      <c r="L15" s="71"/>
      <c r="M15" s="72"/>
      <c r="O15" s="11"/>
      <c r="P15" s="11"/>
      <c r="Q15" s="11"/>
      <c r="R15" s="10"/>
      <c r="S15" s="10"/>
      <c r="T15" s="105"/>
      <c r="U15" s="10"/>
      <c r="V15" s="11"/>
      <c r="W15" s="11"/>
      <c r="X15" s="11"/>
      <c r="Y15" s="11"/>
      <c r="Z15" s="11"/>
      <c r="AA15" s="11"/>
      <c r="AB15" s="11"/>
      <c r="AC15" s="8"/>
    </row>
    <row r="16" spans="1:29" ht="12" customHeight="1">
      <c r="A16" s="41" t="s">
        <v>102</v>
      </c>
      <c r="B16" s="59"/>
      <c r="C16" s="59"/>
      <c r="D16" s="59"/>
      <c r="E16" s="68"/>
      <c r="F16" s="59"/>
      <c r="G16" s="59"/>
      <c r="H16" s="59"/>
      <c r="I16" s="59"/>
      <c r="J16" s="156">
        <f>J10+J12+J14</f>
        <v>0</v>
      </c>
      <c r="K16" s="68" t="s">
        <v>53</v>
      </c>
      <c r="L16" s="152">
        <f>L10+L12+L14</f>
        <v>0</v>
      </c>
      <c r="M16" s="59" t="s">
        <v>56</v>
      </c>
      <c r="O16" s="11"/>
      <c r="P16" s="11" t="s">
        <v>41</v>
      </c>
      <c r="Q16" s="11"/>
      <c r="R16" s="121" t="e">
        <f>IF(ovzopt&lt;=VLOOKUP(YEAR(datprizn),O40:Z83,7),ovzopt,VLOOKUP(YEAR(datprizn),O40:Z83,7)+(MIN(ovzopt,VLOOKUP(YEAR(datprizn),O40:Z83,8))-VLOOKUP(YEAR(datprizn),O40:Z83,7))*VLOOKUP(YEAR(datprizn),O40:Z83,10))</f>
        <v>#REF!</v>
      </c>
      <c r="S16" s="121" t="e">
        <f>IF(OR(ovzopt&lt;=VLOOKUP(YEAR(datprizn),O40:Z83,8),YEAR(datprizn)&gt;2014),0,IF(USS=0,(ovzopt-VLOOKUP(YEAR(datprizn),O40:Z83,8))*VLOOKUP(YEAR(datprizn),O40:Z83,11),(MIN(ovzopt,VLOOKUP(YEAR(datprizn),O40:Z83,9))-VLOOKUP(YEAR(datprizn),O40:Z83,8))*VLOOKUP(YEAR(datprizn),O40:Z83,11)+IF(ovzopt&gt;VLOOKUP(YEAR(datprizn),O40:Z83,9),(ovzopt-VLOOKUP(YEAR(datprizn),O40:Z83,9))*VLOOKUP(YEAR(datprizn),O40:Z83,12),0)))</f>
        <v>#REF!</v>
      </c>
      <c r="T16" s="121" t="e">
        <f>CEILING(R16+S16,1)</f>
        <v>#REF!</v>
      </c>
      <c r="U16" s="10"/>
      <c r="V16" s="11"/>
      <c r="W16" s="11"/>
      <c r="X16" s="11"/>
      <c r="Y16" s="11"/>
      <c r="Z16" s="11"/>
      <c r="AA16" s="11"/>
      <c r="AB16" s="11"/>
      <c r="AC16" s="8"/>
    </row>
    <row r="17" spans="1:29" ht="7.5" customHeight="1">
      <c r="A17" s="41"/>
      <c r="B17" s="59"/>
      <c r="C17" s="59"/>
      <c r="D17" s="59"/>
      <c r="E17" s="68"/>
      <c r="F17" s="59"/>
      <c r="G17" s="59"/>
      <c r="H17" s="59"/>
      <c r="I17" s="59"/>
      <c r="J17" s="136"/>
      <c r="K17" s="68"/>
      <c r="L17" s="137"/>
      <c r="M17" s="59"/>
      <c r="O17" s="11"/>
      <c r="P17" s="10"/>
      <c r="Q17" s="10"/>
      <c r="R17" s="10"/>
      <c r="S17" s="10"/>
      <c r="T17" s="31"/>
      <c r="U17" s="10"/>
      <c r="V17" s="11"/>
      <c r="W17" s="11"/>
      <c r="X17" s="11"/>
      <c r="Y17" s="11"/>
      <c r="Z17" s="11"/>
      <c r="AA17" s="11"/>
      <c r="AB17" s="11"/>
      <c r="AC17" s="8"/>
    </row>
    <row r="18" spans="1:29" ht="12" customHeight="1">
      <c r="A18" s="41" t="s">
        <v>27</v>
      </c>
      <c r="B18" s="59"/>
      <c r="C18" s="59"/>
      <c r="D18" s="59"/>
      <c r="E18" s="68"/>
      <c r="F18" s="59"/>
      <c r="G18" s="59"/>
      <c r="H18" s="59"/>
      <c r="I18" s="59"/>
      <c r="J18" s="136"/>
      <c r="K18" s="68"/>
      <c r="L18" s="153">
        <f>IF(ISBLANK(datprizn),0,VLOOKUP(YEAR(datprizn),'Optimistická varianta'!O40:T83,6))</f>
        <v>0</v>
      </c>
      <c r="M18" s="138" t="s">
        <v>56</v>
      </c>
      <c r="O18" s="11"/>
      <c r="P18" s="10"/>
      <c r="Q18" s="10"/>
      <c r="R18" s="10"/>
      <c r="S18" s="10"/>
      <c r="T18" s="31"/>
      <c r="U18" s="10"/>
      <c r="V18" s="11"/>
      <c r="W18" s="11"/>
      <c r="X18" s="11"/>
      <c r="Y18" s="11"/>
      <c r="Z18" s="11"/>
      <c r="AA18" s="11"/>
      <c r="AB18" s="11"/>
      <c r="AC18" s="8"/>
    </row>
    <row r="19" spans="1:29" ht="7.5" customHeight="1">
      <c r="A19" s="41"/>
      <c r="B19" s="59"/>
      <c r="C19" s="59"/>
      <c r="D19" s="59"/>
      <c r="E19" s="68"/>
      <c r="F19" s="59"/>
      <c r="G19" s="59"/>
      <c r="H19" s="59"/>
      <c r="I19" s="59"/>
      <c r="J19" s="136"/>
      <c r="K19" s="68"/>
      <c r="L19" s="137"/>
      <c r="M19" s="59"/>
      <c r="O19" s="11"/>
      <c r="U19" s="10"/>
      <c r="V19" s="11"/>
      <c r="W19" s="11"/>
      <c r="X19" s="11"/>
      <c r="Y19" s="11"/>
      <c r="Z19" s="11"/>
      <c r="AA19" s="11"/>
      <c r="AB19" s="11"/>
      <c r="AC19" s="8"/>
    </row>
    <row r="20" spans="1:29" ht="12" customHeight="1">
      <c r="A20" s="41" t="s">
        <v>84</v>
      </c>
      <c r="B20" s="59"/>
      <c r="C20" s="59"/>
      <c r="D20" s="59"/>
      <c r="E20" s="68"/>
      <c r="F20" s="59"/>
      <c r="G20" s="59"/>
      <c r="H20" s="59"/>
      <c r="I20" s="59"/>
      <c r="J20" s="136"/>
      <c r="K20" s="68"/>
      <c r="L20" s="152">
        <f>L16+L18</f>
        <v>0</v>
      </c>
      <c r="M20" s="59" t="s">
        <v>56</v>
      </c>
      <c r="O20" s="11"/>
      <c r="P20" s="324">
        <f>YEAR(datprizn)-1986</f>
        <v>-86</v>
      </c>
      <c r="Q20" s="325" t="e">
        <f>VLOOKUP(YEAR(datprizn)-2,O38:R83,4)*VLOOKUP(YEAR(datprizn)-2,O38:S83,5)</f>
        <v>#N/A</v>
      </c>
      <c r="R20" s="326" t="e">
        <f>VLOOKUP(YEAR(datprizn)-2,O38:R83,4)</f>
        <v>#N/A</v>
      </c>
      <c r="S20" s="326" t="e">
        <f>VLOOKUP(YEAR(datprizn)-2,O38:S83,5)</f>
        <v>#N/A</v>
      </c>
      <c r="T20" s="326" t="e">
        <f>R20*S20</f>
        <v>#N/A</v>
      </c>
      <c r="U20" s="10"/>
      <c r="V20" s="11"/>
      <c r="W20" s="11"/>
      <c r="X20" s="11"/>
      <c r="Y20" s="11"/>
      <c r="Z20" s="11"/>
      <c r="AA20" s="11"/>
      <c r="AB20" s="11"/>
      <c r="AC20" s="8"/>
    </row>
    <row r="21" spans="10:32" ht="7.5" customHeight="1">
      <c r="J21" s="139"/>
      <c r="O21" s="10"/>
      <c r="P21" s="10"/>
      <c r="Q21" s="10"/>
      <c r="R21" s="10"/>
      <c r="S21" s="10"/>
      <c r="T21" s="31"/>
      <c r="U21" s="10"/>
      <c r="V21" s="10"/>
      <c r="W21" s="10"/>
      <c r="X21" s="10"/>
      <c r="Y21" s="10"/>
      <c r="Z21" s="10"/>
      <c r="AA21" s="10"/>
      <c r="AB21" s="10"/>
      <c r="AC21" s="7"/>
      <c r="AD21" s="7"/>
      <c r="AE21" s="7"/>
      <c r="AF21" s="7"/>
    </row>
    <row r="22" spans="1:29" ht="12" customHeight="1">
      <c r="A22" s="42" t="s">
        <v>74</v>
      </c>
      <c r="G22" s="160" t="str">
        <f>IF(ISBLANK(datprizn)," ",YEAR(datprizn))</f>
        <v> </v>
      </c>
      <c r="O22" s="11"/>
      <c r="U22" s="11"/>
      <c r="V22" s="11"/>
      <c r="W22" s="11"/>
      <c r="X22" s="11"/>
      <c r="Y22" s="11"/>
      <c r="Z22" s="11"/>
      <c r="AA22" s="11"/>
      <c r="AB22" s="11"/>
      <c r="AC22" s="8"/>
    </row>
    <row r="23" spans="15:32" ht="7.5" customHeight="1">
      <c r="O23" s="10"/>
      <c r="U23" s="10"/>
      <c r="V23" s="10"/>
      <c r="W23" s="10"/>
      <c r="X23" s="10"/>
      <c r="Y23" s="10"/>
      <c r="Z23" s="10"/>
      <c r="AA23" s="10"/>
      <c r="AB23" s="10"/>
      <c r="AC23" s="7"/>
      <c r="AD23" s="7"/>
      <c r="AE23" s="7"/>
      <c r="AF23" s="7"/>
    </row>
    <row r="24" spans="1:32" ht="12" customHeight="1">
      <c r="A24" t="s">
        <v>70</v>
      </c>
      <c r="D24" s="49" t="s">
        <v>57</v>
      </c>
      <c r="E24" s="50" t="str">
        <f>IF(ISBLANK(datprizn)," ",YEAR(datprizn)-1)</f>
        <v> </v>
      </c>
      <c r="G24" s="46"/>
      <c r="O24" s="10"/>
      <c r="U24" s="10"/>
      <c r="V24" s="141"/>
      <c r="W24" s="141"/>
      <c r="X24" s="141"/>
      <c r="Y24" s="141"/>
      <c r="Z24" s="141"/>
      <c r="AA24" s="10"/>
      <c r="AB24" s="10"/>
      <c r="AC24" s="7"/>
      <c r="AD24" s="7"/>
      <c r="AE24" s="7"/>
      <c r="AF24" s="7"/>
    </row>
    <row r="25" spans="15:32" ht="7.5" customHeight="1">
      <c r="O25" s="10"/>
      <c r="U25" s="10"/>
      <c r="V25" s="141"/>
      <c r="W25" s="141"/>
      <c r="X25" s="141"/>
      <c r="Y25" s="141"/>
      <c r="Z25" s="141"/>
      <c r="AA25" s="10"/>
      <c r="AB25" s="10"/>
      <c r="AC25" s="7"/>
      <c r="AD25" s="7"/>
      <c r="AE25" s="7"/>
      <c r="AF25" s="7"/>
    </row>
    <row r="26" spans="1:32" ht="12" customHeight="1">
      <c r="A26" s="81" t="s">
        <v>59</v>
      </c>
      <c r="B26" s="547" t="s">
        <v>61</v>
      </c>
      <c r="C26" s="547"/>
      <c r="D26" s="547"/>
      <c r="E26" s="548">
        <f>IF(ISBLANK(datprizn),0,dnyvrozh)</f>
        <v>0</v>
      </c>
      <c r="F26" s="549"/>
      <c r="H26" s="48"/>
      <c r="O26" s="10"/>
      <c r="U26" s="11"/>
      <c r="V26" s="141"/>
      <c r="W26" s="141"/>
      <c r="X26" s="141"/>
      <c r="Y26" s="141"/>
      <c r="Z26" s="141"/>
      <c r="AA26" s="10"/>
      <c r="AB26" s="10"/>
      <c r="AC26" s="7"/>
      <c r="AD26" s="7"/>
      <c r="AE26" s="7"/>
      <c r="AF26" s="7"/>
    </row>
    <row r="27" spans="1:32" ht="7.5" customHeight="1">
      <c r="A27" s="78"/>
      <c r="B27" s="41"/>
      <c r="C27" s="41"/>
      <c r="D27" s="41"/>
      <c r="E27" s="80"/>
      <c r="F27" s="82"/>
      <c r="O27" s="10"/>
      <c r="P27" s="10"/>
      <c r="Q27" s="10"/>
      <c r="R27" s="10"/>
      <c r="S27" s="10"/>
      <c r="T27" s="31"/>
      <c r="U27" s="10"/>
      <c r="V27" s="141"/>
      <c r="W27" s="141"/>
      <c r="X27" s="141"/>
      <c r="Y27" s="141"/>
      <c r="Z27" s="141"/>
      <c r="AA27" s="10"/>
      <c r="AB27" s="10"/>
      <c r="AC27" s="7"/>
      <c r="AD27" s="7"/>
      <c r="AE27" s="7"/>
      <c r="AF27" s="7"/>
    </row>
    <row r="28" spans="1:29" ht="12" customHeight="1">
      <c r="A28" s="79"/>
      <c r="B28" s="542" t="s">
        <v>62</v>
      </c>
      <c r="C28" s="542"/>
      <c r="D28" s="542"/>
      <c r="E28" s="543">
        <f>IF(ISERROR(souhrnvyloudob),0,souhrnvyloudob)</f>
        <v>0</v>
      </c>
      <c r="F28" s="544"/>
      <c r="O28" s="11"/>
      <c r="V28" s="142"/>
      <c r="W28" s="40"/>
      <c r="X28" s="40"/>
      <c r="Y28" s="40"/>
      <c r="Z28" s="40"/>
      <c r="AA28" s="11"/>
      <c r="AB28" s="11"/>
      <c r="AC28" s="8"/>
    </row>
    <row r="29" spans="15:29" ht="7.5" customHeight="1">
      <c r="O29" s="11"/>
      <c r="P29" s="11"/>
      <c r="Q29" s="11"/>
      <c r="R29" s="11"/>
      <c r="S29" s="11"/>
      <c r="T29" s="39"/>
      <c r="U29" s="11"/>
      <c r="V29" s="40"/>
      <c r="W29" s="40"/>
      <c r="X29" s="40"/>
      <c r="Y29" s="40"/>
      <c r="Z29" s="40"/>
      <c r="AA29" s="11"/>
      <c r="AB29" s="11"/>
      <c r="AC29" s="8"/>
    </row>
    <row r="30" spans="1:29" ht="12" customHeight="1">
      <c r="A30" s="74"/>
      <c r="B30" s="73"/>
      <c r="C30" s="73"/>
      <c r="D30" s="75" t="s">
        <v>58</v>
      </c>
      <c r="E30" s="553">
        <f>IF(ISERROR(T8),0,T8)</f>
        <v>0</v>
      </c>
      <c r="F30" s="553"/>
      <c r="G30" s="554"/>
      <c r="H30" s="59"/>
      <c r="I30" s="59"/>
      <c r="O30" s="11"/>
      <c r="P30" s="40"/>
      <c r="Q30" s="40"/>
      <c r="R30" s="40"/>
      <c r="S30" s="40"/>
      <c r="T30" s="11"/>
      <c r="U30" s="11"/>
      <c r="V30" s="40"/>
      <c r="W30" s="40"/>
      <c r="X30" s="40"/>
      <c r="Y30" s="40"/>
      <c r="Z30" s="40"/>
      <c r="AA30" s="11"/>
      <c r="AB30" s="11"/>
      <c r="AC30" s="8"/>
    </row>
    <row r="31" spans="1:29" ht="12" customHeight="1">
      <c r="A31" s="78"/>
      <c r="B31" s="59"/>
      <c r="C31" s="59"/>
      <c r="D31" s="76" t="s">
        <v>63</v>
      </c>
      <c r="E31" s="555">
        <f>IF(ISERROR(T14),0,T14)</f>
        <v>0</v>
      </c>
      <c r="F31" s="555"/>
      <c r="G31" s="556"/>
      <c r="H31" s="59"/>
      <c r="I31" s="59"/>
      <c r="O31" s="11"/>
      <c r="P31" s="40"/>
      <c r="Q31" s="40"/>
      <c r="R31" s="40"/>
      <c r="S31" s="40"/>
      <c r="T31" s="11"/>
      <c r="U31" s="11"/>
      <c r="V31" s="40"/>
      <c r="W31" s="40"/>
      <c r="X31" s="40"/>
      <c r="Y31" s="40"/>
      <c r="Z31" s="40"/>
      <c r="AA31" s="11"/>
      <c r="AB31" s="11"/>
      <c r="AC31" s="8"/>
    </row>
    <row r="32" spans="1:29" ht="12" customHeight="1">
      <c r="A32" s="79"/>
      <c r="B32" s="72"/>
      <c r="C32" s="72"/>
      <c r="D32" s="77" t="s">
        <v>60</v>
      </c>
      <c r="E32" s="543">
        <f>IF(ISERROR(vypoctzaklopt),0,vypoctzaklopt)</f>
        <v>0</v>
      </c>
      <c r="F32" s="543"/>
      <c r="G32" s="544"/>
      <c r="H32" s="59"/>
      <c r="I32" s="59"/>
      <c r="O32" s="11"/>
      <c r="P32" s="40"/>
      <c r="Q32" s="40"/>
      <c r="R32" s="40"/>
      <c r="S32" s="40"/>
      <c r="T32" s="11"/>
      <c r="U32" s="11"/>
      <c r="V32" s="40"/>
      <c r="W32" s="40"/>
      <c r="X32" s="40"/>
      <c r="Y32" s="40"/>
      <c r="Z32" s="40"/>
      <c r="AA32" s="11"/>
      <c r="AB32" s="11"/>
      <c r="AC32" s="8"/>
    </row>
    <row r="33" spans="5:29" ht="7.5" customHeight="1">
      <c r="E33" s="45"/>
      <c r="O33" s="11"/>
      <c r="P33" s="40"/>
      <c r="Q33" s="40"/>
      <c r="R33" s="40"/>
      <c r="S33" s="40"/>
      <c r="T33" s="11"/>
      <c r="U33" s="11"/>
      <c r="V33" s="11"/>
      <c r="W33" s="11"/>
      <c r="X33" s="11"/>
      <c r="Y33" s="11"/>
      <c r="Z33" s="11"/>
      <c r="AA33" s="11"/>
      <c r="AB33" s="11"/>
      <c r="AC33" s="8"/>
    </row>
    <row r="34" spans="1:29" ht="12" customHeight="1">
      <c r="A34" s="51" t="s">
        <v>64</v>
      </c>
      <c r="B34" s="52"/>
      <c r="C34" s="255" t="s">
        <v>92</v>
      </c>
      <c r="D34" s="146" t="str">
        <f>IF(ISBLANK(datprizn)," ",VLOOKUP(YEAR(datprizn),O40:Z83,7))</f>
        <v> </v>
      </c>
      <c r="E34" s="52"/>
      <c r="F34" s="52"/>
      <c r="G34" s="52"/>
      <c r="H34" s="52"/>
      <c r="I34" s="53" t="s">
        <v>65</v>
      </c>
      <c r="J34" s="148">
        <v>1</v>
      </c>
      <c r="O34" s="11"/>
      <c r="V34" s="11"/>
      <c r="W34" s="11"/>
      <c r="X34" s="11"/>
      <c r="Y34" s="11"/>
      <c r="Z34" s="11"/>
      <c r="AA34" s="11"/>
      <c r="AB34" s="11"/>
      <c r="AC34" s="8"/>
    </row>
    <row r="35" spans="1:29" ht="12" customHeight="1">
      <c r="A35" s="54"/>
      <c r="B35" s="41"/>
      <c r="C35" s="178" t="s">
        <v>93</v>
      </c>
      <c r="D35" s="267" t="str">
        <f>D34</f>
        <v> </v>
      </c>
      <c r="E35" s="41"/>
      <c r="F35" s="178" t="s">
        <v>92</v>
      </c>
      <c r="G35" s="147" t="str">
        <f>IF(ISBLANK(datprizn)," ",VLOOKUP(YEAR(datprizn),O41:Z83,8))</f>
        <v> </v>
      </c>
      <c r="H35" s="41"/>
      <c r="I35" s="41"/>
      <c r="J35" s="149" t="str">
        <f>IF(ISBLANK(datprizn)," ",VLOOKUP(YEAR(datprizn),O40:Z83,10))</f>
        <v> </v>
      </c>
      <c r="O35" s="11"/>
      <c r="P35" s="40"/>
      <c r="Q35" s="40"/>
      <c r="R35" s="40"/>
      <c r="S35" s="40"/>
      <c r="T35" s="11"/>
      <c r="U35" s="11"/>
      <c r="V35" s="11"/>
      <c r="W35" s="11"/>
      <c r="X35" s="11"/>
      <c r="Y35" s="11"/>
      <c r="Z35" s="11"/>
      <c r="AA35" s="11"/>
      <c r="AB35" s="11"/>
      <c r="AC35" s="8"/>
    </row>
    <row r="36" spans="1:29" ht="12" customHeight="1">
      <c r="A36" s="54"/>
      <c r="B36" s="41"/>
      <c r="C36" s="178" t="s">
        <v>93</v>
      </c>
      <c r="D36" s="267" t="str">
        <f>G35</f>
        <v> </v>
      </c>
      <c r="E36" s="41"/>
      <c r="F36" s="178" t="s">
        <v>92</v>
      </c>
      <c r="G36" s="147" t="str">
        <f>IF(ISBLANK(datprizn)," ",IF(ISBLANK(VLOOKUP(YEAR(datprizn),O42:Z83,9))," ",VLOOKUP(YEAR(datprizn),O42:Z83,9)))</f>
        <v> </v>
      </c>
      <c r="H36" s="41"/>
      <c r="I36" s="41"/>
      <c r="J36" s="149" t="str">
        <f>IF(ISBLANK(datprizn)," ",VLOOKUP(YEAR(datprizn),O40:Z83,11))</f>
        <v> </v>
      </c>
      <c r="O36" s="11"/>
      <c r="P36" s="40"/>
      <c r="Q36" s="40"/>
      <c r="R36" s="40"/>
      <c r="S36" s="40"/>
      <c r="T36" s="11"/>
      <c r="U36" s="11"/>
      <c r="V36" s="11"/>
      <c r="W36" s="11"/>
      <c r="X36" s="11"/>
      <c r="Y36" s="11"/>
      <c r="Z36" s="11"/>
      <c r="AA36" s="11"/>
      <c r="AB36" s="11"/>
      <c r="AC36" s="8"/>
    </row>
    <row r="37" spans="1:32" ht="12" customHeight="1">
      <c r="A37" s="55"/>
      <c r="B37" s="56"/>
      <c r="C37" s="262" t="s">
        <v>93</v>
      </c>
      <c r="D37" s="272" t="str">
        <f>G36</f>
        <v> </v>
      </c>
      <c r="E37" s="56"/>
      <c r="F37" s="56"/>
      <c r="G37" s="266" t="str">
        <f>IF(ISBLANK(datprizn)," ",VLOOKUP(YEAR(datprizn),O43:Z75,10))</f>
        <v> </v>
      </c>
      <c r="H37" s="56"/>
      <c r="I37" s="56"/>
      <c r="J37" s="150" t="str">
        <f>IF(ISBLANK(datprizn)," ",VLOOKUP(YEAR(datprizn),O40:Z83,12))</f>
        <v> </v>
      </c>
      <c r="O37" s="557" t="s">
        <v>22</v>
      </c>
      <c r="P37" s="550" t="s">
        <v>25</v>
      </c>
      <c r="Q37" s="560" t="s">
        <v>31</v>
      </c>
      <c r="R37" s="560" t="s">
        <v>26</v>
      </c>
      <c r="S37" s="560" t="s">
        <v>42</v>
      </c>
      <c r="T37" s="550" t="s">
        <v>30</v>
      </c>
      <c r="U37" s="550" t="s">
        <v>32</v>
      </c>
      <c r="V37" s="550" t="s">
        <v>33</v>
      </c>
      <c r="W37" s="550" t="s">
        <v>34</v>
      </c>
      <c r="X37" s="550" t="s">
        <v>35</v>
      </c>
      <c r="Y37" s="550" t="s">
        <v>36</v>
      </c>
      <c r="Z37" s="550" t="s">
        <v>37</v>
      </c>
      <c r="AA37" s="550" t="s">
        <v>43</v>
      </c>
      <c r="AB37" s="563" t="s">
        <v>77</v>
      </c>
      <c r="AC37" s="550" t="s">
        <v>78</v>
      </c>
      <c r="AD37"/>
      <c r="AE37"/>
      <c r="AF37"/>
    </row>
    <row r="38" spans="15:32" ht="7.5" customHeight="1">
      <c r="O38" s="558"/>
      <c r="P38" s="551"/>
      <c r="Q38" s="561"/>
      <c r="R38" s="561"/>
      <c r="S38" s="561"/>
      <c r="T38" s="551"/>
      <c r="U38" s="551"/>
      <c r="V38" s="551"/>
      <c r="W38" s="551"/>
      <c r="X38" s="551"/>
      <c r="Y38" s="551"/>
      <c r="Z38" s="551"/>
      <c r="AA38" s="551"/>
      <c r="AB38" s="563"/>
      <c r="AC38" s="551"/>
      <c r="AD38"/>
      <c r="AE38"/>
      <c r="AF38"/>
    </row>
    <row r="39" spans="15:32" ht="12" customHeight="1">
      <c r="O39" s="559"/>
      <c r="P39" s="552"/>
      <c r="Q39" s="562"/>
      <c r="R39" s="562"/>
      <c r="S39" s="562"/>
      <c r="T39" s="552"/>
      <c r="U39" s="552"/>
      <c r="V39" s="552"/>
      <c r="W39" s="552"/>
      <c r="X39" s="552"/>
      <c r="Y39" s="552"/>
      <c r="Z39" s="552"/>
      <c r="AA39" s="552"/>
      <c r="AB39" s="563"/>
      <c r="AC39" s="552"/>
      <c r="AD39"/>
      <c r="AE39"/>
      <c r="AF39"/>
    </row>
    <row r="40" spans="1:32" ht="12" customHeight="1">
      <c r="A40" t="s">
        <v>67</v>
      </c>
      <c r="O40" s="61">
        <v>1986</v>
      </c>
      <c r="P40" s="61">
        <f aca="true" t="shared" si="0" ref="P40:P75">IF(O40&gt;=(YEAR(datprizn)-1),1,ROUND($Q$20/R40,4))</f>
        <v>1</v>
      </c>
      <c r="Q40" s="62">
        <f>IF(ISBLANK('Důchodová a věková kalkulačka'!B58),0,CEILING(MIN('Důchodová a věková kalkulačka'!B58,AA40)*P40,1))</f>
        <v>0</v>
      </c>
      <c r="R40" s="62">
        <v>2964</v>
      </c>
      <c r="S40" s="62">
        <v>1</v>
      </c>
      <c r="T40" s="60"/>
      <c r="U40" s="60"/>
      <c r="V40" s="60"/>
      <c r="W40" s="60"/>
      <c r="X40" s="60"/>
      <c r="Y40" s="60"/>
      <c r="Z40" s="60"/>
      <c r="AA40" s="60"/>
      <c r="AB40" s="93"/>
      <c r="AC40" s="93"/>
      <c r="AD40"/>
      <c r="AE40"/>
      <c r="AF40"/>
    </row>
    <row r="41" spans="15:32" ht="12" customHeight="1">
      <c r="O41" s="61">
        <v>1987</v>
      </c>
      <c r="P41" s="61">
        <f t="shared" si="0"/>
        <v>1</v>
      </c>
      <c r="Q41" s="62">
        <f>IF(ISBLANK('Důchodová a věková kalkulačka'!B59),0,CEILING(MIN('Důchodová a věková kalkulačka'!B59,AA41)*P41,1))</f>
        <v>0</v>
      </c>
      <c r="R41" s="62">
        <v>3026</v>
      </c>
      <c r="S41" s="62">
        <v>1</v>
      </c>
      <c r="T41" s="60"/>
      <c r="U41" s="60"/>
      <c r="V41" s="60"/>
      <c r="W41" s="60"/>
      <c r="X41" s="60"/>
      <c r="Y41" s="60"/>
      <c r="Z41" s="60"/>
      <c r="AA41" s="60"/>
      <c r="AB41" s="93"/>
      <c r="AC41" s="93"/>
      <c r="AD41"/>
      <c r="AE41"/>
      <c r="AF41"/>
    </row>
    <row r="42" spans="15:32" ht="12" customHeight="1">
      <c r="O42" s="61">
        <v>1988</v>
      </c>
      <c r="P42" s="61">
        <f t="shared" si="0"/>
        <v>1</v>
      </c>
      <c r="Q42" s="62">
        <f>IF(ISBLANK('Důchodová a věková kalkulačka'!B60),0,CEILING(MIN('Důchodová a věková kalkulačka'!B60,AA42)*P42,1))</f>
        <v>0</v>
      </c>
      <c r="R42" s="62">
        <v>3095</v>
      </c>
      <c r="S42" s="62">
        <v>1</v>
      </c>
      <c r="T42" s="60"/>
      <c r="U42" s="60"/>
      <c r="V42" s="60"/>
      <c r="W42" s="60"/>
      <c r="X42" s="60"/>
      <c r="Y42" s="60"/>
      <c r="Z42" s="60"/>
      <c r="AA42" s="60"/>
      <c r="AB42" s="93"/>
      <c r="AC42" s="93"/>
      <c r="AD42"/>
      <c r="AE42"/>
      <c r="AF42"/>
    </row>
    <row r="43" spans="15:32" ht="12" customHeight="1">
      <c r="O43" s="61">
        <v>1989</v>
      </c>
      <c r="P43" s="61">
        <f t="shared" si="0"/>
        <v>1</v>
      </c>
      <c r="Q43" s="62">
        <f>IF(ISBLANK('Důchodová a věková kalkulačka'!B61),0,CEILING(MIN('Důchodová a věková kalkulačka'!B61,AA43)*P43,1))</f>
        <v>0</v>
      </c>
      <c r="R43" s="61">
        <v>3170</v>
      </c>
      <c r="S43" s="61">
        <v>1</v>
      </c>
      <c r="T43" s="60"/>
      <c r="U43" s="60"/>
      <c r="V43" s="60"/>
      <c r="W43" s="60"/>
      <c r="X43" s="60"/>
      <c r="Y43" s="60"/>
      <c r="Z43" s="60"/>
      <c r="AA43" s="60"/>
      <c r="AB43" s="93"/>
      <c r="AC43" s="93"/>
      <c r="AD43"/>
      <c r="AE43"/>
      <c r="AF43"/>
    </row>
    <row r="44" spans="5:32" ht="12" customHeight="1">
      <c r="E44" s="89" t="s">
        <v>76</v>
      </c>
      <c r="F44" s="269"/>
      <c r="G44" s="269"/>
      <c r="H44" s="269"/>
      <c r="I44" s="269"/>
      <c r="J44" s="269"/>
      <c r="K44" s="269"/>
      <c r="L44" s="269"/>
      <c r="M44" s="269"/>
      <c r="O44" s="61">
        <v>1990</v>
      </c>
      <c r="P44" s="61">
        <f t="shared" si="0"/>
        <v>1</v>
      </c>
      <c r="Q44" s="62">
        <f>IF(ISBLANK('Důchodová a věková kalkulačka'!B62),0,CEILING(MIN('Důchodová a věková kalkulačka'!B62,AA44)*P44,1))</f>
        <v>0</v>
      </c>
      <c r="R44" s="61">
        <v>3286</v>
      </c>
      <c r="S44" s="61">
        <v>1</v>
      </c>
      <c r="T44" s="60"/>
      <c r="U44" s="60"/>
      <c r="V44" s="60"/>
      <c r="W44" s="60"/>
      <c r="X44" s="60"/>
      <c r="Y44" s="60"/>
      <c r="Z44" s="60"/>
      <c r="AA44" s="60"/>
      <c r="AB44" s="93"/>
      <c r="AC44" s="93"/>
      <c r="AD44"/>
      <c r="AE44"/>
      <c r="AF44"/>
    </row>
    <row r="45" spans="5:32" ht="12" customHeight="1">
      <c r="E45" s="89"/>
      <c r="F45" s="269"/>
      <c r="G45" s="269"/>
      <c r="H45" s="269"/>
      <c r="I45" s="269"/>
      <c r="J45" s="269"/>
      <c r="K45" s="269"/>
      <c r="L45" s="269"/>
      <c r="M45" s="269"/>
      <c r="O45" s="61">
        <v>1991</v>
      </c>
      <c r="P45" s="61">
        <f t="shared" si="0"/>
        <v>1</v>
      </c>
      <c r="Q45" s="62">
        <f>IF(ISBLANK('Důchodová a věková kalkulačka'!B63),0,CEILING(MIN('Důchodová a věková kalkulačka'!B63,AA45)*P45,1))</f>
        <v>0</v>
      </c>
      <c r="R45" s="61">
        <v>3792</v>
      </c>
      <c r="S45" s="61">
        <v>1</v>
      </c>
      <c r="T45" s="60"/>
      <c r="U45" s="60"/>
      <c r="V45" s="60"/>
      <c r="W45" s="60"/>
      <c r="X45" s="60"/>
      <c r="Y45" s="60"/>
      <c r="Z45" s="60"/>
      <c r="AA45" s="60"/>
      <c r="AB45" s="93"/>
      <c r="AC45" s="93"/>
      <c r="AD45"/>
      <c r="AE45"/>
      <c r="AF45"/>
    </row>
    <row r="46" spans="5:32" ht="12" customHeight="1">
      <c r="E46" s="89"/>
      <c r="F46" s="269"/>
      <c r="G46" s="269"/>
      <c r="H46" s="269"/>
      <c r="I46" s="269"/>
      <c r="J46" s="269"/>
      <c r="K46" s="269"/>
      <c r="L46" s="269"/>
      <c r="M46" s="269"/>
      <c r="O46" s="61">
        <v>1992</v>
      </c>
      <c r="P46" s="61">
        <f t="shared" si="0"/>
        <v>1</v>
      </c>
      <c r="Q46" s="62">
        <f>IF(ISBLANK('Důchodová a věková kalkulačka'!B64),0,CEILING(MIN('Důchodová a věková kalkulačka'!B64,AA46)*P46,1))</f>
        <v>0</v>
      </c>
      <c r="R46" s="61">
        <v>4644</v>
      </c>
      <c r="S46" s="61">
        <v>1</v>
      </c>
      <c r="T46" s="60"/>
      <c r="U46" s="60"/>
      <c r="V46" s="60"/>
      <c r="W46" s="60"/>
      <c r="X46" s="60"/>
      <c r="Y46" s="60"/>
      <c r="Z46" s="60"/>
      <c r="AA46" s="60"/>
      <c r="AB46" s="93"/>
      <c r="AC46" s="93"/>
      <c r="AD46"/>
      <c r="AE46"/>
      <c r="AF46"/>
    </row>
    <row r="47" spans="5:32" ht="12" customHeight="1">
      <c r="E47" s="89"/>
      <c r="F47" s="269"/>
      <c r="G47" s="269"/>
      <c r="H47" s="269"/>
      <c r="I47" s="269"/>
      <c r="J47" s="269"/>
      <c r="K47" s="269"/>
      <c r="L47" s="269"/>
      <c r="M47" s="269"/>
      <c r="O47" s="61">
        <v>1993</v>
      </c>
      <c r="P47" s="61">
        <f t="shared" si="0"/>
        <v>1</v>
      </c>
      <c r="Q47" s="62">
        <f>IF(ISBLANK('Důchodová a věková kalkulačka'!B65),0,CEILING(MIN('Důchodová a věková kalkulačka'!B65,AA47)*P47,1))</f>
        <v>0</v>
      </c>
      <c r="R47" s="61">
        <v>5817</v>
      </c>
      <c r="S47" s="61">
        <v>1</v>
      </c>
      <c r="T47" s="60"/>
      <c r="U47" s="60"/>
      <c r="V47" s="60"/>
      <c r="W47" s="60"/>
      <c r="X47" s="60"/>
      <c r="Y47" s="60"/>
      <c r="Z47" s="60"/>
      <c r="AA47" s="60"/>
      <c r="AB47" s="93"/>
      <c r="AC47" s="93"/>
      <c r="AD47"/>
      <c r="AE47"/>
      <c r="AF47"/>
    </row>
    <row r="48" spans="5:32" ht="12" customHeight="1">
      <c r="E48" s="89"/>
      <c r="F48" s="269"/>
      <c r="G48" s="269"/>
      <c r="H48" s="269"/>
      <c r="I48" s="269"/>
      <c r="J48" s="269"/>
      <c r="K48" s="269"/>
      <c r="L48" s="269"/>
      <c r="M48" s="269"/>
      <c r="O48" s="61">
        <v>1994</v>
      </c>
      <c r="P48" s="61">
        <f t="shared" si="0"/>
        <v>1</v>
      </c>
      <c r="Q48" s="62">
        <f>IF(ISBLANK('Důchodová a věková kalkulačka'!B66),0,CEILING(MIN('Důchodová a věková kalkulačka'!B66,AA48)*P48,1))</f>
        <v>0</v>
      </c>
      <c r="R48" s="61">
        <v>6896</v>
      </c>
      <c r="S48" s="63">
        <v>1.1914</v>
      </c>
      <c r="T48" s="60"/>
      <c r="U48" s="60"/>
      <c r="V48" s="60"/>
      <c r="W48" s="60"/>
      <c r="X48" s="60"/>
      <c r="Y48" s="60"/>
      <c r="Z48" s="60"/>
      <c r="AA48" s="60"/>
      <c r="AB48" s="93"/>
      <c r="AC48" s="93"/>
      <c r="AD48"/>
      <c r="AE48"/>
      <c r="AF48"/>
    </row>
    <row r="49" spans="5:32" ht="12" customHeight="1">
      <c r="E49" s="89"/>
      <c r="F49" s="269"/>
      <c r="G49" s="269"/>
      <c r="H49" s="269"/>
      <c r="I49" s="269"/>
      <c r="J49" s="269"/>
      <c r="K49" s="269"/>
      <c r="L49" s="269"/>
      <c r="M49" s="269"/>
      <c r="O49" s="61">
        <v>1995</v>
      </c>
      <c r="P49" s="61">
        <f t="shared" si="0"/>
        <v>1</v>
      </c>
      <c r="Q49" s="62">
        <f>IF(ISBLANK('Důchodová a věková kalkulačka'!B67),0,CEILING(MIN('Důchodová a věková kalkulačka'!B67,AA49)*P49,1))</f>
        <v>0</v>
      </c>
      <c r="R49" s="61">
        <v>8172</v>
      </c>
      <c r="S49" s="63">
        <v>1.1978</v>
      </c>
      <c r="T49" s="60"/>
      <c r="U49" s="60"/>
      <c r="V49" s="60"/>
      <c r="W49" s="60"/>
      <c r="X49" s="60"/>
      <c r="Y49" s="60"/>
      <c r="Z49" s="60"/>
      <c r="AA49" s="60"/>
      <c r="AB49" s="93"/>
      <c r="AC49" s="93"/>
      <c r="AD49"/>
      <c r="AE49"/>
      <c r="AF49"/>
    </row>
    <row r="50" spans="5:32" ht="12" customHeight="1">
      <c r="E50" s="89"/>
      <c r="F50" s="90"/>
      <c r="G50" s="90"/>
      <c r="H50" s="90"/>
      <c r="I50" s="90"/>
      <c r="J50" s="90"/>
      <c r="K50" s="90"/>
      <c r="L50" s="90"/>
      <c r="M50" s="59"/>
      <c r="O50" s="61">
        <v>1996</v>
      </c>
      <c r="P50" s="61">
        <f t="shared" si="0"/>
        <v>1</v>
      </c>
      <c r="Q50" s="62">
        <f>IF(ISBLANK('Důchodová a věková kalkulačka'!B68),0,CEILING(MIN('Důchodová a věková kalkulačka'!B68,AA50)*P50,1))</f>
        <v>0</v>
      </c>
      <c r="R50" s="61">
        <v>9676</v>
      </c>
      <c r="S50" s="63">
        <v>1.1194</v>
      </c>
      <c r="T50" s="64">
        <v>680</v>
      </c>
      <c r="U50" s="60">
        <v>5000</v>
      </c>
      <c r="V50" s="60">
        <v>10000</v>
      </c>
      <c r="W50" s="60"/>
      <c r="X50" s="60">
        <v>0.3</v>
      </c>
      <c r="Y50" s="60">
        <v>0.1</v>
      </c>
      <c r="Z50" s="60"/>
      <c r="AA50" s="60"/>
      <c r="AB50" s="93"/>
      <c r="AC50" s="93"/>
      <c r="AD50"/>
      <c r="AE50"/>
      <c r="AF50"/>
    </row>
    <row r="51" spans="5:32" ht="12" customHeight="1">
      <c r="E51" s="59"/>
      <c r="F51" s="59"/>
      <c r="G51" s="59"/>
      <c r="H51" s="59"/>
      <c r="I51" s="59"/>
      <c r="J51" s="59"/>
      <c r="K51" s="59"/>
      <c r="L51" s="59"/>
      <c r="M51" s="59"/>
      <c r="O51" s="61">
        <v>1997</v>
      </c>
      <c r="P51" s="61">
        <f t="shared" si="0"/>
        <v>1</v>
      </c>
      <c r="Q51" s="62">
        <f>IF(ISBLANK('Důchodová a věková kalkulačka'!B69),0,CEILING(MIN('Důchodová a věková kalkulačka'!B69,AA51)*P51,1))</f>
        <v>0</v>
      </c>
      <c r="R51" s="61">
        <v>10696</v>
      </c>
      <c r="S51" s="63">
        <v>1.0891</v>
      </c>
      <c r="T51" s="64">
        <v>1060</v>
      </c>
      <c r="U51" s="60">
        <v>5600</v>
      </c>
      <c r="V51" s="60">
        <v>11200</v>
      </c>
      <c r="W51" s="60"/>
      <c r="X51" s="60">
        <v>0.3</v>
      </c>
      <c r="Y51" s="60">
        <v>0.1</v>
      </c>
      <c r="Z51" s="60"/>
      <c r="AA51" s="60"/>
      <c r="AB51" s="93"/>
      <c r="AC51" s="93"/>
      <c r="AD51"/>
      <c r="AE51"/>
      <c r="AF51"/>
    </row>
    <row r="52" spans="5:32" ht="12" customHeight="1">
      <c r="E52" s="59"/>
      <c r="F52" s="59"/>
      <c r="G52" s="59"/>
      <c r="H52" s="59"/>
      <c r="I52" s="59"/>
      <c r="J52" s="59"/>
      <c r="K52" s="59"/>
      <c r="L52" s="59"/>
      <c r="O52" s="61">
        <v>1998</v>
      </c>
      <c r="P52" s="61">
        <f t="shared" si="0"/>
        <v>1</v>
      </c>
      <c r="Q52" s="62">
        <f>IF(ISBLANK('Důchodová a věková kalkulačka'!B70),0,CEILING(MIN('Důchodová a věková kalkulačka'!B70,AA52)*P52,1))</f>
        <v>0</v>
      </c>
      <c r="R52" s="61">
        <v>11693</v>
      </c>
      <c r="S52" s="63">
        <v>1.085</v>
      </c>
      <c r="T52" s="64">
        <v>1260</v>
      </c>
      <c r="U52" s="60">
        <v>5900</v>
      </c>
      <c r="V52" s="60">
        <v>11800</v>
      </c>
      <c r="W52" s="60"/>
      <c r="X52" s="60">
        <v>0.3</v>
      </c>
      <c r="Y52" s="60">
        <v>0.1</v>
      </c>
      <c r="Z52" s="60"/>
      <c r="AA52" s="60"/>
      <c r="AB52" s="93"/>
      <c r="AC52" s="93"/>
      <c r="AD52"/>
      <c r="AE52"/>
      <c r="AF52"/>
    </row>
    <row r="53" spans="5:32" ht="12" customHeight="1">
      <c r="E53" s="59"/>
      <c r="F53" s="59"/>
      <c r="G53" s="59"/>
      <c r="H53" s="59"/>
      <c r="I53" s="59"/>
      <c r="J53" s="59"/>
      <c r="K53" s="59"/>
      <c r="L53" s="59"/>
      <c r="O53" s="61">
        <v>1999</v>
      </c>
      <c r="P53" s="61">
        <f t="shared" si="0"/>
        <v>1</v>
      </c>
      <c r="Q53" s="62">
        <f>IF(ISBLANK('Důchodová a věková kalkulačka'!B71),0,CEILING(MIN('Důchodová a věková kalkulačka'!B71,AA53)*P53,1))</f>
        <v>0</v>
      </c>
      <c r="R53" s="61">
        <v>12655</v>
      </c>
      <c r="S53" s="63">
        <v>1.062</v>
      </c>
      <c r="T53" s="64">
        <v>1310</v>
      </c>
      <c r="U53" s="60">
        <v>6100</v>
      </c>
      <c r="V53" s="60">
        <v>13000</v>
      </c>
      <c r="W53" s="60"/>
      <c r="X53" s="60">
        <v>0.3</v>
      </c>
      <c r="Y53" s="60">
        <v>0.1</v>
      </c>
      <c r="Z53" s="60"/>
      <c r="AA53" s="60"/>
      <c r="AB53" s="93"/>
      <c r="AC53" s="93"/>
      <c r="AD53"/>
      <c r="AE53"/>
      <c r="AF53"/>
    </row>
    <row r="54" spans="5:32" ht="12" customHeight="1">
      <c r="E54" s="59"/>
      <c r="F54" s="59"/>
      <c r="G54" s="59"/>
      <c r="H54" s="59"/>
      <c r="I54" s="59"/>
      <c r="J54" s="59"/>
      <c r="K54" s="59"/>
      <c r="L54" s="59"/>
      <c r="O54" s="61">
        <v>2000</v>
      </c>
      <c r="P54" s="61">
        <f t="shared" si="0"/>
        <v>1</v>
      </c>
      <c r="Q54" s="62">
        <f>IF(ISBLANK('Důchodová a věková kalkulačka'!B72),0,CEILING(MIN('Důchodová a věková kalkulačka'!B72,AA54)*P54,1))</f>
        <v>0</v>
      </c>
      <c r="R54" s="61">
        <v>13490</v>
      </c>
      <c r="S54" s="63">
        <v>1.0942</v>
      </c>
      <c r="T54" s="64">
        <v>1310</v>
      </c>
      <c r="U54" s="60">
        <v>6300</v>
      </c>
      <c r="V54" s="60">
        <v>14200</v>
      </c>
      <c r="W54" s="60"/>
      <c r="X54" s="60">
        <v>0.3</v>
      </c>
      <c r="Y54" s="60">
        <v>0.1</v>
      </c>
      <c r="Z54" s="60"/>
      <c r="AA54" s="60"/>
      <c r="AB54" s="93"/>
      <c r="AC54" s="93"/>
      <c r="AD54"/>
      <c r="AE54"/>
      <c r="AF54"/>
    </row>
    <row r="55" spans="15:32" ht="12" customHeight="1">
      <c r="O55" s="61">
        <v>2001</v>
      </c>
      <c r="P55" s="61">
        <f t="shared" si="0"/>
        <v>1</v>
      </c>
      <c r="Q55" s="62">
        <f>IF(ISBLANK('Důchodová a věková kalkulačka'!B73),0,CEILING(MIN('Důchodová a věková kalkulačka'!B73,AA55)*P55,1))</f>
        <v>0</v>
      </c>
      <c r="R55" s="61">
        <v>14640</v>
      </c>
      <c r="S55" s="63">
        <v>1.0693</v>
      </c>
      <c r="T55" s="64">
        <v>1310</v>
      </c>
      <c r="U55" s="60">
        <v>6600</v>
      </c>
      <c r="V55" s="60">
        <v>15300</v>
      </c>
      <c r="W55" s="60"/>
      <c r="X55" s="60">
        <v>0.3</v>
      </c>
      <c r="Y55" s="60">
        <v>0.1</v>
      </c>
      <c r="Z55" s="60"/>
      <c r="AA55" s="60"/>
      <c r="AB55" s="93"/>
      <c r="AC55" s="93"/>
      <c r="AD55"/>
      <c r="AE55"/>
      <c r="AF55"/>
    </row>
    <row r="56" spans="15:32" ht="12" customHeight="1">
      <c r="O56" s="61">
        <v>2002</v>
      </c>
      <c r="P56" s="61">
        <f t="shared" si="0"/>
        <v>1</v>
      </c>
      <c r="Q56" s="62">
        <f>IF(ISBLANK('Důchodová a věková kalkulačka'!B74),0,CEILING(MIN('Důchodová a věková kalkulačka'!B74,AA56)*P56,1))</f>
        <v>0</v>
      </c>
      <c r="R56" s="61">
        <v>15711</v>
      </c>
      <c r="S56" s="63">
        <v>1.0717</v>
      </c>
      <c r="T56" s="64">
        <v>1310</v>
      </c>
      <c r="U56" s="60">
        <v>7100</v>
      </c>
      <c r="V56" s="60">
        <v>16800</v>
      </c>
      <c r="W56" s="60"/>
      <c r="X56" s="60">
        <v>0.3</v>
      </c>
      <c r="Y56" s="60">
        <v>0.1</v>
      </c>
      <c r="Z56" s="60"/>
      <c r="AA56" s="60"/>
      <c r="AB56" s="93"/>
      <c r="AC56" s="93"/>
      <c r="AD56"/>
      <c r="AE56"/>
      <c r="AF56"/>
    </row>
    <row r="57" spans="15:32" ht="12" customHeight="1">
      <c r="O57" s="61">
        <v>2003</v>
      </c>
      <c r="P57" s="61">
        <f t="shared" si="0"/>
        <v>1</v>
      </c>
      <c r="Q57" s="62">
        <f>IF(ISBLANK('Důchodová a věková kalkulačka'!B75),0,CEILING(MIN('Důchodová a věková kalkulačka'!B75,AA57)*P57,1))</f>
        <v>0</v>
      </c>
      <c r="R57" s="61">
        <v>16769</v>
      </c>
      <c r="S57" s="63">
        <v>1.0665</v>
      </c>
      <c r="T57" s="64">
        <v>1310</v>
      </c>
      <c r="U57" s="60">
        <v>7400</v>
      </c>
      <c r="V57" s="60">
        <v>17900</v>
      </c>
      <c r="W57" s="60"/>
      <c r="X57" s="60">
        <v>0.3</v>
      </c>
      <c r="Y57" s="60">
        <v>0.1</v>
      </c>
      <c r="Z57" s="60"/>
      <c r="AA57" s="60"/>
      <c r="AB57" s="93"/>
      <c r="AC57" s="93"/>
      <c r="AD57"/>
      <c r="AE57"/>
      <c r="AF57"/>
    </row>
    <row r="58" spans="15:32" ht="12" customHeight="1">
      <c r="O58" s="61">
        <v>2004</v>
      </c>
      <c r="P58" s="61">
        <f t="shared" si="0"/>
        <v>1</v>
      </c>
      <c r="Q58" s="62">
        <f>IF(ISBLANK('Důchodová a věková kalkulačka'!B76),0,CEILING(MIN('Důchodová a věková kalkulačka'!B76,AA58)*P58,1))</f>
        <v>0</v>
      </c>
      <c r="R58" s="61">
        <v>17882</v>
      </c>
      <c r="S58" s="63">
        <v>1.0532</v>
      </c>
      <c r="T58" s="64">
        <v>1310</v>
      </c>
      <c r="U58" s="60">
        <v>7500</v>
      </c>
      <c r="V58" s="60">
        <v>19200</v>
      </c>
      <c r="W58" s="60"/>
      <c r="X58" s="60">
        <v>0.3</v>
      </c>
      <c r="Y58" s="60">
        <v>0.1</v>
      </c>
      <c r="Z58" s="60"/>
      <c r="AA58" s="60"/>
      <c r="AB58" s="93"/>
      <c r="AC58" s="93"/>
      <c r="AD58"/>
      <c r="AE58"/>
      <c r="AF58"/>
    </row>
    <row r="59" spans="15:32" ht="12" customHeight="1">
      <c r="O59" s="61">
        <v>2005</v>
      </c>
      <c r="P59" s="61">
        <f t="shared" si="0"/>
        <v>1</v>
      </c>
      <c r="Q59" s="62">
        <f>IF(ISBLANK('Důchodová a věková kalkulačka'!B77),0,CEILING(MIN('Důchodová a věková kalkulačka'!B77,AA59)*P59,1))</f>
        <v>0</v>
      </c>
      <c r="R59" s="61">
        <v>18809</v>
      </c>
      <c r="S59" s="63">
        <v>1.0707</v>
      </c>
      <c r="T59" s="64">
        <v>1400</v>
      </c>
      <c r="U59" s="60">
        <v>8400</v>
      </c>
      <c r="V59" s="60">
        <v>20500</v>
      </c>
      <c r="W59" s="60"/>
      <c r="X59" s="60">
        <v>0.3</v>
      </c>
      <c r="Y59" s="60">
        <v>0.1</v>
      </c>
      <c r="Z59" s="60"/>
      <c r="AA59" s="60"/>
      <c r="AB59" s="93"/>
      <c r="AC59" s="93"/>
      <c r="AD59"/>
      <c r="AE59"/>
      <c r="AF59"/>
    </row>
    <row r="60" spans="15:32" ht="12" customHeight="1">
      <c r="O60" s="61">
        <v>2006</v>
      </c>
      <c r="P60" s="61">
        <f t="shared" si="0"/>
        <v>1</v>
      </c>
      <c r="Q60" s="62">
        <f>IF(ISBLANK('Důchodová a věková kalkulačka'!B78),0,CEILING(MIN('Důchodová a věková kalkulačka'!B78,AA60)*P60,1))</f>
        <v>0</v>
      </c>
      <c r="R60" s="61">
        <v>20050</v>
      </c>
      <c r="S60" s="63">
        <v>1.0753</v>
      </c>
      <c r="T60" s="64">
        <v>1470</v>
      </c>
      <c r="U60" s="60">
        <v>9100</v>
      </c>
      <c r="V60" s="60">
        <v>21800</v>
      </c>
      <c r="W60" s="60"/>
      <c r="X60" s="60">
        <v>0.3</v>
      </c>
      <c r="Y60" s="60">
        <v>0.1</v>
      </c>
      <c r="Z60" s="60"/>
      <c r="AA60" s="60"/>
      <c r="AB60" s="93"/>
      <c r="AC60" s="93"/>
      <c r="AD60"/>
      <c r="AE60"/>
      <c r="AF60"/>
    </row>
    <row r="61" spans="15:32" ht="12" customHeight="1">
      <c r="O61" s="61">
        <v>2007</v>
      </c>
      <c r="P61" s="61">
        <f t="shared" si="0"/>
        <v>1</v>
      </c>
      <c r="Q61" s="62">
        <f>IF(ISBLANK('Důchodová a věková kalkulačka'!B79),0,CEILING(MIN('Důchodová a věková kalkulačka'!B79,AA61)*P61,1))</f>
        <v>0</v>
      </c>
      <c r="R61" s="61">
        <v>21527</v>
      </c>
      <c r="S61" s="63">
        <v>1.0942</v>
      </c>
      <c r="T61" s="64">
        <v>1570</v>
      </c>
      <c r="U61" s="60">
        <v>9600</v>
      </c>
      <c r="V61" s="60">
        <v>23300</v>
      </c>
      <c r="W61" s="60"/>
      <c r="X61" s="60">
        <v>0.3</v>
      </c>
      <c r="Y61" s="60">
        <v>0.1</v>
      </c>
      <c r="Z61" s="60"/>
      <c r="AA61" s="60"/>
      <c r="AB61" s="93"/>
      <c r="AC61" s="93"/>
      <c r="AD61"/>
      <c r="AE61"/>
      <c r="AF61"/>
    </row>
    <row r="62" spans="15:32" ht="12.75">
      <c r="O62" s="61">
        <v>2008</v>
      </c>
      <c r="P62" s="61">
        <f t="shared" si="0"/>
        <v>1</v>
      </c>
      <c r="Q62" s="62">
        <f>IF(ISBLANK('Důchodová a věková kalkulačka'!B80),0,CEILING(MIN('Důchodová a věková kalkulačka'!B80,AA62)*P62,1))</f>
        <v>0</v>
      </c>
      <c r="R62" s="61">
        <v>23280</v>
      </c>
      <c r="S62" s="63">
        <v>1.0184</v>
      </c>
      <c r="T62" s="64">
        <v>2170</v>
      </c>
      <c r="U62" s="60">
        <v>10000</v>
      </c>
      <c r="V62" s="60">
        <v>24800</v>
      </c>
      <c r="W62" s="60"/>
      <c r="X62" s="60">
        <v>0.3</v>
      </c>
      <c r="Y62" s="60">
        <v>0.1</v>
      </c>
      <c r="Z62" s="60"/>
      <c r="AA62" s="91">
        <f>AB62*AC62*12</f>
        <v>1034880</v>
      </c>
      <c r="AB62" s="94">
        <v>21560</v>
      </c>
      <c r="AC62" s="94">
        <v>4</v>
      </c>
      <c r="AD62"/>
      <c r="AE62"/>
      <c r="AF62"/>
    </row>
    <row r="63" spans="15:32" ht="12.75">
      <c r="O63" s="61">
        <v>2009</v>
      </c>
      <c r="P63" s="61">
        <f t="shared" si="0"/>
        <v>1</v>
      </c>
      <c r="Q63" s="62">
        <f>IF(ISBLANK('Důchodová a věková kalkulačka'!B81),0,CEILING(MIN('Důchodová a věková kalkulačka'!B81,AA63)*P63,1))</f>
        <v>0</v>
      </c>
      <c r="R63" s="61">
        <v>24091</v>
      </c>
      <c r="S63" s="63">
        <v>1.0269</v>
      </c>
      <c r="T63" s="64">
        <v>2170</v>
      </c>
      <c r="U63" s="60">
        <v>10500</v>
      </c>
      <c r="V63" s="60">
        <v>27000</v>
      </c>
      <c r="W63" s="60"/>
      <c r="X63" s="60">
        <v>0.3</v>
      </c>
      <c r="Y63" s="60">
        <v>0.1</v>
      </c>
      <c r="Z63" s="60"/>
      <c r="AA63" s="91">
        <f aca="true" t="shared" si="1" ref="AA63:AA75">AB63*AC63*12</f>
        <v>1130640</v>
      </c>
      <c r="AB63" s="94">
        <v>23555</v>
      </c>
      <c r="AC63" s="94">
        <v>4</v>
      </c>
      <c r="AD63"/>
      <c r="AE63"/>
      <c r="AF63"/>
    </row>
    <row r="64" spans="15:32" ht="12.75">
      <c r="O64" s="61">
        <v>2010</v>
      </c>
      <c r="P64" s="61">
        <f t="shared" si="0"/>
        <v>1</v>
      </c>
      <c r="Q64" s="62">
        <f>IF(ISBLANK('Důchodová a věková kalkulačka'!B82),0,CEILING(MIN('Důchodová a věková kalkulačka'!B82,AA64)*P64,1))</f>
        <v>0</v>
      </c>
      <c r="R64" s="61">
        <v>24526</v>
      </c>
      <c r="S64" s="63">
        <v>1.0249</v>
      </c>
      <c r="T64" s="64">
        <v>2170</v>
      </c>
      <c r="U64" s="60">
        <v>10500</v>
      </c>
      <c r="V64" s="60">
        <v>27000</v>
      </c>
      <c r="W64" s="60"/>
      <c r="X64" s="60">
        <v>0.3</v>
      </c>
      <c r="Y64" s="60">
        <v>0.1</v>
      </c>
      <c r="Z64" s="60"/>
      <c r="AA64" s="91">
        <f t="shared" si="1"/>
        <v>1707048</v>
      </c>
      <c r="AB64" s="94">
        <v>23709</v>
      </c>
      <c r="AC64" s="94">
        <v>6</v>
      </c>
      <c r="AD64"/>
      <c r="AE64"/>
      <c r="AF64"/>
    </row>
    <row r="65" spans="15:32" ht="12.75">
      <c r="O65" s="61">
        <v>2011</v>
      </c>
      <c r="P65" s="61">
        <f t="shared" si="0"/>
        <v>1</v>
      </c>
      <c r="Q65" s="62">
        <f>IF(ISBLANK('Důchodová a věková kalkulačka'!B83),0,CEILING(MIN('Důchodová a věková kalkulačka'!B83,AA65)*P65,1))</f>
        <v>0</v>
      </c>
      <c r="R65" s="61">
        <v>25093</v>
      </c>
      <c r="S65" s="65">
        <v>1.0315</v>
      </c>
      <c r="T65" s="64">
        <v>2230</v>
      </c>
      <c r="U65" s="60">
        <f>IF(USS=1,10886,11000)</f>
        <v>11000</v>
      </c>
      <c r="V65" s="60">
        <f>IF(USS=1,28699,28200)</f>
        <v>28200</v>
      </c>
      <c r="W65" s="60">
        <f>IF(USS=1,98960,0)</f>
        <v>0</v>
      </c>
      <c r="X65" s="60">
        <f>IF(USS=1,0.29,0.3)</f>
        <v>0.3</v>
      </c>
      <c r="Y65" s="60">
        <f>IF(USS=1,0.13,0.1)</f>
        <v>0.1</v>
      </c>
      <c r="Z65" s="60">
        <f>IF(USS=1,0.1,0)</f>
        <v>0</v>
      </c>
      <c r="AA65" s="91">
        <f t="shared" si="1"/>
        <v>1781280</v>
      </c>
      <c r="AB65" s="94">
        <v>24740</v>
      </c>
      <c r="AC65" s="94">
        <v>6</v>
      </c>
      <c r="AD65"/>
      <c r="AE65"/>
      <c r="AF65"/>
    </row>
    <row r="66" spans="15:32" ht="12.75">
      <c r="O66" s="61">
        <v>2012</v>
      </c>
      <c r="P66" s="61">
        <f t="shared" si="0"/>
        <v>1</v>
      </c>
      <c r="Q66" s="62">
        <f>IF(ISBLANK('Důchodová a věková kalkulačka'!B84),0,CEILING(MIN('Důchodová a věková kalkulačka'!B84,AA66)*P66,1))</f>
        <v>0</v>
      </c>
      <c r="R66" s="61">
        <v>25903</v>
      </c>
      <c r="S66" s="63">
        <v>1.0015</v>
      </c>
      <c r="T66" s="64">
        <v>2270</v>
      </c>
      <c r="U66" s="60">
        <v>11061</v>
      </c>
      <c r="V66" s="60">
        <v>29159</v>
      </c>
      <c r="W66" s="60">
        <v>100548</v>
      </c>
      <c r="X66" s="60">
        <v>0.28</v>
      </c>
      <c r="Y66" s="60">
        <v>0.16</v>
      </c>
      <c r="Z66" s="60">
        <v>0.08</v>
      </c>
      <c r="AA66" s="91">
        <f t="shared" si="1"/>
        <v>1206576</v>
      </c>
      <c r="AB66" s="94">
        <v>25137</v>
      </c>
      <c r="AC66" s="94">
        <v>4</v>
      </c>
      <c r="AD66"/>
      <c r="AE66"/>
      <c r="AF66"/>
    </row>
    <row r="67" spans="15:32" ht="12.75">
      <c r="O67" s="61">
        <v>2013</v>
      </c>
      <c r="P67" s="61">
        <f t="shared" si="0"/>
        <v>1</v>
      </c>
      <c r="Q67" s="62">
        <f>IF(ISBLANK('Důchodová a věková kalkulačka'!B85),0,CEILING(MIN('Důchodová a věková kalkulačka'!B85,AA67)*P67,1))</f>
        <v>0</v>
      </c>
      <c r="R67" s="61">
        <v>25903</v>
      </c>
      <c r="S67" s="63">
        <v>1.0273</v>
      </c>
      <c r="T67" s="64">
        <v>2330</v>
      </c>
      <c r="U67" s="60">
        <v>11389</v>
      </c>
      <c r="V67" s="60">
        <f>CEILING($AB67*1.16,1)</f>
        <v>30026</v>
      </c>
      <c r="W67" s="60">
        <v>103536</v>
      </c>
      <c r="X67" s="60">
        <v>0.27</v>
      </c>
      <c r="Y67" s="60">
        <v>0.19</v>
      </c>
      <c r="Z67" s="60">
        <v>0.06</v>
      </c>
      <c r="AA67" s="91">
        <f t="shared" si="1"/>
        <v>1242432</v>
      </c>
      <c r="AB67" s="94">
        <v>25884</v>
      </c>
      <c r="AC67" s="94">
        <v>4</v>
      </c>
      <c r="AD67"/>
      <c r="AE67"/>
      <c r="AF67"/>
    </row>
    <row r="68" spans="15:32" ht="12.75">
      <c r="O68" s="61">
        <v>2014</v>
      </c>
      <c r="P68" s="61">
        <f t="shared" si="0"/>
        <v>1</v>
      </c>
      <c r="Q68" s="62">
        <f>IF(ISBLANK('Důchodová a věková kalkulačka'!B86),0,CEILING(MIN('Důchodová a věková kalkulačka'!B86,AA68)*P68,1))</f>
        <v>0</v>
      </c>
      <c r="R68" s="61">
        <v>26357</v>
      </c>
      <c r="S68" s="63">
        <v>1.0246</v>
      </c>
      <c r="T68" s="64">
        <f>CEILING($AB68*0.09,10)</f>
        <v>2340</v>
      </c>
      <c r="U68" s="60">
        <f>CEILING($AB68*0.44,1)</f>
        <v>11415</v>
      </c>
      <c r="V68" s="60">
        <f>CEILING($AB68*1.16,1)</f>
        <v>30093</v>
      </c>
      <c r="W68" s="60">
        <v>103768</v>
      </c>
      <c r="X68" s="60">
        <v>0.26</v>
      </c>
      <c r="Y68" s="60">
        <v>0.22</v>
      </c>
      <c r="Z68" s="60">
        <v>0.03</v>
      </c>
      <c r="AA68" s="91">
        <f t="shared" si="1"/>
        <v>1245216</v>
      </c>
      <c r="AB68" s="94">
        <f>MAX(CEILING(R66*S66,1),AB67)</f>
        <v>25942</v>
      </c>
      <c r="AC68" s="94">
        <v>4</v>
      </c>
      <c r="AD68"/>
      <c r="AE68"/>
      <c r="AF68"/>
    </row>
    <row r="69" spans="15:32" ht="12.75">
      <c r="O69" s="64">
        <v>2015</v>
      </c>
      <c r="P69" s="61">
        <f t="shared" si="0"/>
        <v>1</v>
      </c>
      <c r="Q69" s="62">
        <f>IF(ISBLANK('Důchodová a věková kalkulačka'!B87),0,CEILING(MIN('Důchodová a věková kalkulačka'!B87,AA69)*P69,1))</f>
        <v>0</v>
      </c>
      <c r="R69" s="61">
        <v>27156</v>
      </c>
      <c r="S69" s="63">
        <v>1.0396</v>
      </c>
      <c r="T69" s="64">
        <f>CEILING($AB69*0.09,10)</f>
        <v>2400</v>
      </c>
      <c r="U69" s="60">
        <f>CEILING($AB69*0.44,1)</f>
        <v>11709</v>
      </c>
      <c r="V69" s="60">
        <f>CEILING($AB69*4,1)</f>
        <v>106444</v>
      </c>
      <c r="W69" s="60"/>
      <c r="X69" s="60">
        <v>0.26</v>
      </c>
      <c r="Y69" s="60">
        <v>0</v>
      </c>
      <c r="Z69" s="60">
        <v>0</v>
      </c>
      <c r="AA69" s="60">
        <f t="shared" si="1"/>
        <v>1277328</v>
      </c>
      <c r="AB69" s="94">
        <f>MAX(CEILING(R67*S67,1),AB68)</f>
        <v>26611</v>
      </c>
      <c r="AC69" s="94">
        <v>4</v>
      </c>
      <c r="AE69"/>
      <c r="AF69"/>
    </row>
    <row r="70" spans="15:32" ht="12.75">
      <c r="O70" s="293">
        <v>2016</v>
      </c>
      <c r="P70" s="293">
        <f t="shared" si="0"/>
        <v>1</v>
      </c>
      <c r="Q70" s="294">
        <f>IF(ISBLANK('Důchodová a věková kalkulačka'!B88),0,CEILING(MIN('Důchodová a věková kalkulačka'!B88,AA70)*P70,1))</f>
        <v>0</v>
      </c>
      <c r="R70" s="293">
        <v>28250</v>
      </c>
      <c r="S70" s="295">
        <v>1.0612</v>
      </c>
      <c r="T70" s="296">
        <f>CEILING($AB70*0.09,10)</f>
        <v>2440</v>
      </c>
      <c r="U70" s="297">
        <f aca="true" t="shared" si="2" ref="U70:U84">CEILING($AB70*0.44,1)</f>
        <v>11883</v>
      </c>
      <c r="V70" s="297">
        <f aca="true" t="shared" si="3" ref="V70:V84">CEILING($AB70*4,1)</f>
        <v>108024</v>
      </c>
      <c r="W70" s="297"/>
      <c r="X70" s="297">
        <v>0.26</v>
      </c>
      <c r="Y70" s="297">
        <v>0</v>
      </c>
      <c r="Z70" s="297">
        <v>0</v>
      </c>
      <c r="AA70" s="298">
        <f t="shared" si="1"/>
        <v>1296288</v>
      </c>
      <c r="AB70" s="299">
        <f aca="true" t="shared" si="4" ref="AB70:AB75">MAX(CEILING(R68*S68,1),AB69)</f>
        <v>27006</v>
      </c>
      <c r="AC70" s="300">
        <v>4</v>
      </c>
      <c r="AE70"/>
      <c r="AF70"/>
    </row>
    <row r="71" spans="15:32" ht="12.75">
      <c r="O71" s="296">
        <v>2017</v>
      </c>
      <c r="P71" s="313">
        <f t="shared" si="0"/>
        <v>1</v>
      </c>
      <c r="Q71" s="294">
        <f>IF(ISBLANK('Důchodová a věková kalkulačka'!B89),0,CEILING(MIN('Důchodová a věková kalkulačka'!B89,AA71)*P71,1))</f>
        <v>0</v>
      </c>
      <c r="R71" s="313">
        <v>30156</v>
      </c>
      <c r="S71" s="295">
        <v>1.0843</v>
      </c>
      <c r="T71" s="296">
        <f>CEILING($AB71*0.09,10)</f>
        <v>2550</v>
      </c>
      <c r="U71" s="297">
        <f t="shared" si="2"/>
        <v>12423</v>
      </c>
      <c r="V71" s="297">
        <f t="shared" si="3"/>
        <v>112928</v>
      </c>
      <c r="W71" s="297"/>
      <c r="X71" s="297">
        <v>0.26</v>
      </c>
      <c r="Y71" s="315">
        <v>0</v>
      </c>
      <c r="Z71" s="297">
        <v>0</v>
      </c>
      <c r="AA71" s="298">
        <f t="shared" si="1"/>
        <v>1355136</v>
      </c>
      <c r="AB71" s="299">
        <f t="shared" si="4"/>
        <v>28232</v>
      </c>
      <c r="AC71" s="300">
        <v>4</v>
      </c>
      <c r="AE71"/>
      <c r="AF71"/>
    </row>
    <row r="72" spans="15:32" ht="12.75">
      <c r="O72" s="328">
        <v>2018</v>
      </c>
      <c r="P72" s="328">
        <f t="shared" si="0"/>
        <v>1</v>
      </c>
      <c r="Q72" s="294">
        <f>IF(ISBLANK('Důchodová a věková kalkulačka'!B90),0,CEILING(MIN('Důchodová a věková kalkulačka'!B90,AA72)*P72,1))</f>
        <v>0</v>
      </c>
      <c r="R72" s="328">
        <v>32510</v>
      </c>
      <c r="S72" s="295">
        <v>1.0715</v>
      </c>
      <c r="T72" s="296">
        <f>CEILING($AB72*0.09,10)</f>
        <v>2700</v>
      </c>
      <c r="U72" s="297">
        <f t="shared" si="2"/>
        <v>13191</v>
      </c>
      <c r="V72" s="297">
        <f t="shared" si="3"/>
        <v>119916</v>
      </c>
      <c r="W72" s="297"/>
      <c r="X72" s="297">
        <v>0.26</v>
      </c>
      <c r="Y72" s="315">
        <v>0</v>
      </c>
      <c r="Z72" s="297">
        <v>0</v>
      </c>
      <c r="AA72" s="298">
        <f t="shared" si="1"/>
        <v>1438992</v>
      </c>
      <c r="AB72" s="299">
        <f t="shared" si="4"/>
        <v>29979</v>
      </c>
      <c r="AC72" s="300">
        <v>4</v>
      </c>
      <c r="AE72"/>
      <c r="AF72"/>
    </row>
    <row r="73" spans="15:32" ht="12.75">
      <c r="O73" s="296">
        <v>2019</v>
      </c>
      <c r="P73" s="328">
        <f t="shared" si="0"/>
        <v>1</v>
      </c>
      <c r="Q73" s="294">
        <f>IF(ISBLANK('Důchodová a věková kalkulačka'!B91),0,CEILING(MIN('Důchodová a věková kalkulačka'!B91,AA73)*P73,1))</f>
        <v>0</v>
      </c>
      <c r="R73" s="334">
        <v>34766</v>
      </c>
      <c r="S73" s="295">
        <v>1.0194</v>
      </c>
      <c r="T73" s="296">
        <f aca="true" t="shared" si="5" ref="T73:T84">CEILING($AB73*0.1,10)</f>
        <v>3270</v>
      </c>
      <c r="U73" s="297">
        <f t="shared" si="2"/>
        <v>14388</v>
      </c>
      <c r="V73" s="297">
        <f t="shared" si="3"/>
        <v>130796</v>
      </c>
      <c r="W73" s="297"/>
      <c r="X73" s="297">
        <v>0.26</v>
      </c>
      <c r="Y73" s="315">
        <v>0</v>
      </c>
      <c r="Z73" s="297">
        <v>0</v>
      </c>
      <c r="AA73" s="298">
        <f t="shared" si="1"/>
        <v>1569552</v>
      </c>
      <c r="AB73" s="299">
        <f t="shared" si="4"/>
        <v>32699</v>
      </c>
      <c r="AC73" s="300">
        <v>4</v>
      </c>
      <c r="AE73"/>
      <c r="AF73"/>
    </row>
    <row r="74" spans="15:32" ht="12.75">
      <c r="O74" s="337">
        <v>2020</v>
      </c>
      <c r="P74" s="337">
        <f t="shared" si="0"/>
        <v>1</v>
      </c>
      <c r="Q74" s="294">
        <f>IF(ISBLANK('Důchodová a věková kalkulačka'!B92),0,CEILING(MIN('Důchodová a věková kalkulačka'!B92,AA74)*P74,1))</f>
        <v>0</v>
      </c>
      <c r="R74" s="337">
        <v>36119</v>
      </c>
      <c r="S74" s="295">
        <v>1.0773</v>
      </c>
      <c r="T74" s="296">
        <f t="shared" si="5"/>
        <v>3490</v>
      </c>
      <c r="U74" s="297">
        <f t="shared" si="2"/>
        <v>15328</v>
      </c>
      <c r="V74" s="297">
        <f t="shared" si="3"/>
        <v>139340</v>
      </c>
      <c r="W74" s="297"/>
      <c r="X74" s="297">
        <v>0.26</v>
      </c>
      <c r="Y74" s="297">
        <v>0</v>
      </c>
      <c r="Z74" s="297">
        <v>0</v>
      </c>
      <c r="AA74" s="298">
        <f t="shared" si="1"/>
        <v>1672080</v>
      </c>
      <c r="AB74" s="299">
        <f t="shared" si="4"/>
        <v>34835</v>
      </c>
      <c r="AC74" s="300">
        <v>4</v>
      </c>
      <c r="AD74" s="8"/>
      <c r="AE74"/>
      <c r="AF74"/>
    </row>
    <row r="75" spans="15:32" ht="12.75">
      <c r="O75" s="348">
        <v>2021</v>
      </c>
      <c r="P75" s="348">
        <f t="shared" si="0"/>
        <v>1</v>
      </c>
      <c r="Q75" s="294">
        <f>IF(ISBLANK('Důchodová a věková kalkulačka'!B93),0,CEILING(MIN('Důchodová a věková kalkulačka'!B93,AA75)*P75,1))</f>
        <v>0</v>
      </c>
      <c r="R75" s="348">
        <v>38294</v>
      </c>
      <c r="S75" s="295">
        <v>1.053</v>
      </c>
      <c r="T75" s="296">
        <f t="shared" si="5"/>
        <v>3550</v>
      </c>
      <c r="U75" s="297">
        <f t="shared" si="2"/>
        <v>15595</v>
      </c>
      <c r="V75" s="297">
        <f t="shared" si="3"/>
        <v>141764</v>
      </c>
      <c r="W75" s="297"/>
      <c r="X75" s="297">
        <v>0.26</v>
      </c>
      <c r="Y75" s="297">
        <v>0</v>
      </c>
      <c r="Z75" s="297">
        <v>0</v>
      </c>
      <c r="AA75" s="298">
        <f t="shared" si="1"/>
        <v>1701168</v>
      </c>
      <c r="AB75" s="299">
        <f t="shared" si="4"/>
        <v>35441</v>
      </c>
      <c r="AC75" s="300">
        <v>4</v>
      </c>
      <c r="AD75" s="8"/>
      <c r="AE75"/>
      <c r="AF75"/>
    </row>
    <row r="76" spans="15:32" ht="12.75">
      <c r="O76" s="378">
        <v>2022</v>
      </c>
      <c r="P76" s="378">
        <f aca="true" t="shared" si="6" ref="P76:P81">IF(O76&gt;=(YEAR(datprizn)-1),1,ROUND($Q$20/R76,4))</f>
        <v>1</v>
      </c>
      <c r="Q76" s="294">
        <f>IF(ISBLANK('Důchodová a věková kalkulačka'!B94),0,CEILING(MIN('Důchodová a věková kalkulačka'!B94,AA76)*P76,1))</f>
        <v>0</v>
      </c>
      <c r="R76" s="378">
        <v>40638</v>
      </c>
      <c r="S76" s="295">
        <v>1.0819</v>
      </c>
      <c r="T76" s="296">
        <f t="shared" si="5"/>
        <v>3900</v>
      </c>
      <c r="U76" s="297">
        <f t="shared" si="2"/>
        <v>17121</v>
      </c>
      <c r="V76" s="297">
        <f t="shared" si="3"/>
        <v>155644</v>
      </c>
      <c r="W76" s="297"/>
      <c r="X76" s="297">
        <v>0.26</v>
      </c>
      <c r="Y76" s="297">
        <v>0</v>
      </c>
      <c r="Z76" s="297">
        <v>0</v>
      </c>
      <c r="AA76" s="298">
        <f aca="true" t="shared" si="7" ref="AA76:AA81">AB76*AC76*12</f>
        <v>1867728</v>
      </c>
      <c r="AB76" s="299">
        <f aca="true" t="shared" si="8" ref="AB76:AB81">MAX(CEILING(R74*S74,1),AB75)</f>
        <v>38911</v>
      </c>
      <c r="AC76" s="300">
        <v>4</v>
      </c>
      <c r="AD76" s="8"/>
      <c r="AE76"/>
      <c r="AF76"/>
    </row>
    <row r="77" spans="15:32" ht="13.5" thickBot="1">
      <c r="O77" s="99">
        <v>2023</v>
      </c>
      <c r="P77" s="99">
        <f t="shared" si="6"/>
        <v>1</v>
      </c>
      <c r="Q77" s="100">
        <f>IF(ISBLANK('Důchodová a věková kalkulačka'!B95),0,CEILING(MIN('Důchodová a věková kalkulačka'!B95,AA77)*P77,1))</f>
        <v>0</v>
      </c>
      <c r="R77" s="99">
        <v>41500</v>
      </c>
      <c r="S77" s="101">
        <v>1.1025</v>
      </c>
      <c r="T77" s="98">
        <f t="shared" si="5"/>
        <v>4040</v>
      </c>
      <c r="U77" s="102">
        <f t="shared" si="2"/>
        <v>17743</v>
      </c>
      <c r="V77" s="102">
        <f t="shared" si="3"/>
        <v>161296</v>
      </c>
      <c r="W77" s="102"/>
      <c r="X77" s="102">
        <v>0.26</v>
      </c>
      <c r="Y77" s="102">
        <v>0</v>
      </c>
      <c r="Z77" s="102">
        <v>0</v>
      </c>
      <c r="AA77" s="102">
        <f t="shared" si="7"/>
        <v>1935552</v>
      </c>
      <c r="AB77" s="103">
        <f t="shared" si="8"/>
        <v>40324</v>
      </c>
      <c r="AC77" s="291">
        <v>4</v>
      </c>
      <c r="AD77" s="8"/>
      <c r="AE77"/>
      <c r="AF77"/>
    </row>
    <row r="78" spans="15:32" ht="12.75">
      <c r="O78" s="379">
        <v>2024</v>
      </c>
      <c r="P78" s="379">
        <f t="shared" si="6"/>
        <v>1</v>
      </c>
      <c r="Q78" s="96">
        <f>IF(ISBLANK('Důchodová a věková kalkulačka'!B96),0,CEILING(MIN('Důchodová a věková kalkulačka'!B96,AA78)*P78,1))</f>
        <v>0</v>
      </c>
      <c r="R78" s="379">
        <v>42000</v>
      </c>
      <c r="S78" s="97">
        <v>1.1045</v>
      </c>
      <c r="T78" s="107">
        <f t="shared" si="5"/>
        <v>4400</v>
      </c>
      <c r="U78" s="92">
        <f t="shared" si="2"/>
        <v>19346</v>
      </c>
      <c r="V78" s="92">
        <f t="shared" si="3"/>
        <v>175868</v>
      </c>
      <c r="W78" s="92"/>
      <c r="X78" s="92">
        <v>0.26</v>
      </c>
      <c r="Y78" s="92">
        <v>0</v>
      </c>
      <c r="Z78" s="92">
        <v>0</v>
      </c>
      <c r="AA78" s="104">
        <f t="shared" si="7"/>
        <v>2110416</v>
      </c>
      <c r="AB78" s="122">
        <f t="shared" si="8"/>
        <v>43967</v>
      </c>
      <c r="AC78" s="95">
        <v>4</v>
      </c>
      <c r="AD78" s="8"/>
      <c r="AE78"/>
      <c r="AF78"/>
    </row>
    <row r="79" spans="15:32" ht="12.75">
      <c r="O79" s="61">
        <v>2025</v>
      </c>
      <c r="P79" s="61">
        <f t="shared" si="6"/>
        <v>1</v>
      </c>
      <c r="Q79" s="62">
        <f>IF(ISBLANK('Důchodová a věková kalkulačka'!B97),0,CEILING(MIN('Důchodová a věková kalkulačka'!B97,AA79)*P79,1))</f>
        <v>0</v>
      </c>
      <c r="R79" s="379">
        <v>42300</v>
      </c>
      <c r="S79" s="63">
        <v>1.1085</v>
      </c>
      <c r="T79" s="64">
        <f t="shared" si="5"/>
        <v>4580</v>
      </c>
      <c r="U79" s="60">
        <f t="shared" si="2"/>
        <v>20132</v>
      </c>
      <c r="V79" s="60">
        <f t="shared" si="3"/>
        <v>183016</v>
      </c>
      <c r="W79" s="60"/>
      <c r="X79" s="60">
        <v>0.26</v>
      </c>
      <c r="Y79" s="60">
        <v>0</v>
      </c>
      <c r="Z79" s="60">
        <v>0</v>
      </c>
      <c r="AA79" s="91">
        <f t="shared" si="7"/>
        <v>2196192</v>
      </c>
      <c r="AB79" s="94">
        <f t="shared" si="8"/>
        <v>45754</v>
      </c>
      <c r="AC79" s="93">
        <v>4</v>
      </c>
      <c r="AD79" s="8"/>
      <c r="AE79"/>
      <c r="AF79"/>
    </row>
    <row r="80" spans="15:32" ht="12.75">
      <c r="O80" s="61">
        <v>2026</v>
      </c>
      <c r="P80" s="61">
        <f t="shared" si="6"/>
        <v>1</v>
      </c>
      <c r="Q80" s="62">
        <f>IF(ISBLANK('Důchodová a věková kalkulačka'!B98),0,CEILING(MIN('Důchodová a věková kalkulačka'!B98,AA80)*P80,1))</f>
        <v>0</v>
      </c>
      <c r="R80" s="379">
        <v>42500</v>
      </c>
      <c r="S80" s="63">
        <v>1.1125</v>
      </c>
      <c r="T80" s="64">
        <f t="shared" si="5"/>
        <v>4640</v>
      </c>
      <c r="U80" s="60">
        <f t="shared" si="2"/>
        <v>20412</v>
      </c>
      <c r="V80" s="60">
        <f t="shared" si="3"/>
        <v>185556</v>
      </c>
      <c r="W80" s="60"/>
      <c r="X80" s="60">
        <v>0.26</v>
      </c>
      <c r="Y80" s="60">
        <v>0</v>
      </c>
      <c r="Z80" s="60">
        <v>0</v>
      </c>
      <c r="AA80" s="91">
        <f t="shared" si="7"/>
        <v>2226672</v>
      </c>
      <c r="AB80" s="94">
        <f t="shared" si="8"/>
        <v>46389</v>
      </c>
      <c r="AC80" s="93">
        <v>4</v>
      </c>
      <c r="AD80" s="8"/>
      <c r="AE80"/>
      <c r="AF80"/>
    </row>
    <row r="81" spans="15:32" ht="12.75">
      <c r="O81" s="61">
        <v>2027</v>
      </c>
      <c r="P81" s="61">
        <f t="shared" si="6"/>
        <v>1</v>
      </c>
      <c r="Q81" s="62">
        <f>IF(ISBLANK('Důchodová a věková kalkulačka'!B99),0,CEILING(MIN('Důchodová a věková kalkulačka'!B99,AA81)*P81,1))</f>
        <v>0</v>
      </c>
      <c r="R81" s="379">
        <v>42600</v>
      </c>
      <c r="S81" s="63">
        <v>1.1125</v>
      </c>
      <c r="T81" s="64">
        <f t="shared" si="5"/>
        <v>4690</v>
      </c>
      <c r="U81" s="60">
        <f t="shared" si="2"/>
        <v>20632</v>
      </c>
      <c r="V81" s="60">
        <f t="shared" si="3"/>
        <v>187560</v>
      </c>
      <c r="W81" s="60"/>
      <c r="X81" s="60">
        <v>0.26</v>
      </c>
      <c r="Y81" s="60">
        <v>0</v>
      </c>
      <c r="Z81" s="60">
        <v>0</v>
      </c>
      <c r="AA81" s="91">
        <f t="shared" si="7"/>
        <v>2250720</v>
      </c>
      <c r="AB81" s="94">
        <f t="shared" si="8"/>
        <v>46890</v>
      </c>
      <c r="AC81" s="93">
        <v>4</v>
      </c>
      <c r="AD81" s="8"/>
      <c r="AE81"/>
      <c r="AF81"/>
    </row>
    <row r="82" spans="15:32" ht="12.75">
      <c r="O82" s="61">
        <v>2028</v>
      </c>
      <c r="P82" s="61">
        <f>IF(O82&gt;=(YEAR(datprizn)-1),1,ROUND($Q$20/R82,4))</f>
        <v>1</v>
      </c>
      <c r="Q82" s="62">
        <f>IF(ISBLANK('Důchodová a věková kalkulačka'!B100),0,CEILING(MIN('Důchodová a věková kalkulačka'!B100,AA82)*P82,1))</f>
        <v>0</v>
      </c>
      <c r="R82" s="379">
        <v>42600</v>
      </c>
      <c r="S82" s="63">
        <v>1.1125</v>
      </c>
      <c r="T82" s="64">
        <f t="shared" si="5"/>
        <v>4730</v>
      </c>
      <c r="U82" s="60">
        <f t="shared" si="2"/>
        <v>20805</v>
      </c>
      <c r="V82" s="60">
        <f t="shared" si="3"/>
        <v>189128</v>
      </c>
      <c r="W82" s="60"/>
      <c r="X82" s="60">
        <v>0.26</v>
      </c>
      <c r="Y82" s="60">
        <v>0</v>
      </c>
      <c r="Z82" s="60">
        <v>0</v>
      </c>
      <c r="AA82" s="91">
        <f>AB82*AC82*12</f>
        <v>2269536</v>
      </c>
      <c r="AB82" s="94">
        <f>MAX(CEILING(R80*S80,1),AB81)</f>
        <v>47282</v>
      </c>
      <c r="AC82" s="93">
        <v>4</v>
      </c>
      <c r="AD82" s="8"/>
      <c r="AE82"/>
      <c r="AF82"/>
    </row>
    <row r="83" spans="15:32" ht="12.75">
      <c r="O83" s="61">
        <v>2029</v>
      </c>
      <c r="P83" s="61">
        <f>IF(O83&gt;=(YEAR(datprizn)-1),1,ROUND($Q$20/R83,4))</f>
        <v>1</v>
      </c>
      <c r="Q83" s="62">
        <f>IF(ISBLANK('Důchodová a věková kalkulačka'!B101),0,CEILING(MIN('Důchodová a věková kalkulačka'!B101,AA83)*P83,1))</f>
        <v>0</v>
      </c>
      <c r="R83" s="379">
        <v>42600</v>
      </c>
      <c r="S83" s="63">
        <v>1.1125</v>
      </c>
      <c r="T83" s="64">
        <f t="shared" si="5"/>
        <v>4740</v>
      </c>
      <c r="U83" s="60">
        <f t="shared" si="2"/>
        <v>20853</v>
      </c>
      <c r="V83" s="60">
        <f t="shared" si="3"/>
        <v>189572</v>
      </c>
      <c r="W83" s="60"/>
      <c r="X83" s="60">
        <v>0.26</v>
      </c>
      <c r="Y83" s="60">
        <v>0</v>
      </c>
      <c r="Z83" s="60">
        <v>0</v>
      </c>
      <c r="AA83" s="91">
        <f>AB83*AC83*12</f>
        <v>2274864</v>
      </c>
      <c r="AB83" s="94">
        <f>MAX(CEILING(R81*S81,1),AB82)</f>
        <v>47393</v>
      </c>
      <c r="AC83" s="93">
        <v>4</v>
      </c>
      <c r="AD83" s="8"/>
      <c r="AE83"/>
      <c r="AF83"/>
    </row>
    <row r="84" spans="15:32" ht="12.75">
      <c r="O84" s="61">
        <v>2030</v>
      </c>
      <c r="P84" s="61">
        <f>IF(O84&gt;=(YEAR(datprizn)-1),1,ROUND($Q$20/R84,4))</f>
        <v>1</v>
      </c>
      <c r="Q84" s="62">
        <f>IF(ISBLANK('Důchodová a věková kalkulačka'!B102),0,CEILING(MIN('Důchodová a věková kalkulačka'!B102,AA84)*P84,1))</f>
        <v>0</v>
      </c>
      <c r="R84" s="379">
        <v>42600</v>
      </c>
      <c r="S84" s="63">
        <v>1.1125</v>
      </c>
      <c r="T84" s="64">
        <f t="shared" si="5"/>
        <v>4740</v>
      </c>
      <c r="U84" s="60">
        <f t="shared" si="2"/>
        <v>20853</v>
      </c>
      <c r="V84" s="60">
        <f t="shared" si="3"/>
        <v>189572</v>
      </c>
      <c r="W84" s="60"/>
      <c r="X84" s="60">
        <v>0.26</v>
      </c>
      <c r="Y84" s="60">
        <v>0</v>
      </c>
      <c r="Z84" s="60">
        <v>0</v>
      </c>
      <c r="AA84" s="91">
        <f>AB84*AC84*12</f>
        <v>2274864</v>
      </c>
      <c r="AB84" s="94">
        <f>MAX(CEILING(R82*S82,1),AB83)</f>
        <v>47393</v>
      </c>
      <c r="AC84" s="93">
        <v>4</v>
      </c>
      <c r="AD84" s="8"/>
      <c r="AE84"/>
      <c r="AF84"/>
    </row>
    <row r="85" spans="28:32" ht="12.75">
      <c r="AB85" s="11"/>
      <c r="AC85" s="8"/>
      <c r="AD85" s="8"/>
      <c r="AE85"/>
      <c r="AF85"/>
    </row>
    <row r="86" spans="28:32" ht="12.75">
      <c r="AB86" s="11"/>
      <c r="AC86" s="8"/>
      <c r="AD86" s="8"/>
      <c r="AE86"/>
      <c r="AF86"/>
    </row>
    <row r="87" spans="28:32" ht="12.75">
      <c r="AB87" s="11"/>
      <c r="AC87" s="8"/>
      <c r="AD87" s="8"/>
      <c r="AE87"/>
      <c r="AF87"/>
    </row>
    <row r="88" spans="28:32" ht="12.75">
      <c r="AB88" s="11"/>
      <c r="AC88" s="8"/>
      <c r="AD88" s="8"/>
      <c r="AE88"/>
      <c r="AF88"/>
    </row>
    <row r="89" spans="28:32" ht="12.75">
      <c r="AB89" s="11"/>
      <c r="AC89" s="8"/>
      <c r="AD89" s="8"/>
      <c r="AE89"/>
      <c r="AF89"/>
    </row>
    <row r="90" spans="28:32" ht="12.75">
      <c r="AB90" s="11"/>
      <c r="AC90" s="8"/>
      <c r="AD90" s="8"/>
      <c r="AE90"/>
      <c r="AF90"/>
    </row>
    <row r="91" spans="28:32" ht="12.75">
      <c r="AB91" s="11"/>
      <c r="AC91" s="8"/>
      <c r="AD91" s="8"/>
      <c r="AE91"/>
      <c r="AF91"/>
    </row>
    <row r="92" spans="28:32" ht="12.75">
      <c r="AB92" s="11"/>
      <c r="AC92" s="8"/>
      <c r="AD92" s="8"/>
      <c r="AE92"/>
      <c r="AF92"/>
    </row>
    <row r="93" spans="28:32" ht="12.75">
      <c r="AB93" s="11"/>
      <c r="AC93" s="8"/>
      <c r="AD93" s="8"/>
      <c r="AE93"/>
      <c r="AF93"/>
    </row>
    <row r="94" spans="28:32" ht="12.75">
      <c r="AB94" s="11"/>
      <c r="AC94" s="8"/>
      <c r="AD94" s="8"/>
      <c r="AE94"/>
      <c r="AF94"/>
    </row>
    <row r="95" spans="28:32" ht="12.75">
      <c r="AB95" s="11"/>
      <c r="AC95" s="8"/>
      <c r="AD95" s="8"/>
      <c r="AE95"/>
      <c r="AF95"/>
    </row>
    <row r="96" spans="28:32" ht="12.75">
      <c r="AB96" s="11"/>
      <c r="AC96" s="8"/>
      <c r="AD96" s="8"/>
      <c r="AE96"/>
      <c r="AF96"/>
    </row>
    <row r="97" spans="28:32" ht="12.75">
      <c r="AB97" s="11"/>
      <c r="AC97" s="8"/>
      <c r="AD97" s="8"/>
      <c r="AE97"/>
      <c r="AF97"/>
    </row>
    <row r="98" spans="28:32" ht="12.75">
      <c r="AB98" s="11"/>
      <c r="AC98" s="8"/>
      <c r="AD98" s="8"/>
      <c r="AE98"/>
      <c r="AF98"/>
    </row>
    <row r="99" spans="15:32" ht="12.75">
      <c r="O99" s="11"/>
      <c r="P99" s="11"/>
      <c r="Q99" s="11"/>
      <c r="R99" s="11"/>
      <c r="S99" s="11"/>
      <c r="T99" s="11"/>
      <c r="U99" s="11"/>
      <c r="V99" s="11"/>
      <c r="W99" s="11"/>
      <c r="X99" s="11"/>
      <c r="Y99" s="11"/>
      <c r="Z99" s="11"/>
      <c r="AA99" s="11"/>
      <c r="AB99" s="11"/>
      <c r="AC99" s="8"/>
      <c r="AD99" s="8"/>
      <c r="AE99"/>
      <c r="AF99"/>
    </row>
  </sheetData>
  <sheetProtection password="DA50" sheet="1"/>
  <mergeCells count="25">
    <mergeCell ref="AB37:AB39"/>
    <mergeCell ref="AC37:AC39"/>
    <mergeCell ref="R37:R39"/>
    <mergeCell ref="S37:S39"/>
    <mergeCell ref="T37:T39"/>
    <mergeCell ref="U37:U39"/>
    <mergeCell ref="V37:V39"/>
    <mergeCell ref="W37:W39"/>
    <mergeCell ref="X37:X39"/>
    <mergeCell ref="Y37:Y39"/>
    <mergeCell ref="Z37:Z39"/>
    <mergeCell ref="AA37:AA39"/>
    <mergeCell ref="E30:G30"/>
    <mergeCell ref="E31:G31"/>
    <mergeCell ref="E32:G32"/>
    <mergeCell ref="O37:O39"/>
    <mergeCell ref="P37:P39"/>
    <mergeCell ref="Q37:Q39"/>
    <mergeCell ref="B28:D28"/>
    <mergeCell ref="E28:F28"/>
    <mergeCell ref="A1:I1"/>
    <mergeCell ref="C4:D4"/>
    <mergeCell ref="C6:D6"/>
    <mergeCell ref="B26:D26"/>
    <mergeCell ref="E26:F26"/>
  </mergeCells>
  <conditionalFormatting sqref="O12:O20 W12:AF12 U12 U13:AF20">
    <cfRule type="expression" priority="19" dxfId="99">
      <formula>YEAR($I$10)&gt;1974</formula>
    </cfRule>
  </conditionalFormatting>
  <conditionalFormatting sqref="P20">
    <cfRule type="expression" priority="20" dxfId="35" stopIfTrue="1">
      <formula>$D$6=2011</formula>
    </cfRule>
    <cfRule type="expression" priority="21" dxfId="108" stopIfTrue="1">
      <formula>$D$6&lt;&gt;2011</formula>
    </cfRule>
  </conditionalFormatting>
  <conditionalFormatting sqref="AB62:AC68 AC69 AB69:AB76">
    <cfRule type="expression" priority="18" dxfId="16" stopIfTrue="1">
      <formula>RP&lt;1996</formula>
    </cfRule>
  </conditionalFormatting>
  <conditionalFormatting sqref="AB62:AC68 AC69 AB69:AB76">
    <cfRule type="expression" priority="17" dxfId="16" stopIfTrue="1">
      <formula>OR($F62&gt;RP,$F62=0)</formula>
    </cfRule>
  </conditionalFormatting>
  <conditionalFormatting sqref="AB77">
    <cfRule type="expression" priority="16" dxfId="16" stopIfTrue="1">
      <formula>RP&lt;1996</formula>
    </cfRule>
  </conditionalFormatting>
  <conditionalFormatting sqref="AB77">
    <cfRule type="expression" priority="15" dxfId="16" stopIfTrue="1">
      <formula>OR($F77&gt;RP,$F77=0)</formula>
    </cfRule>
  </conditionalFormatting>
  <conditionalFormatting sqref="AB78">
    <cfRule type="expression" priority="14" dxfId="16" stopIfTrue="1">
      <formula>RP&lt;1996</formula>
    </cfRule>
  </conditionalFormatting>
  <conditionalFormatting sqref="AB78">
    <cfRule type="expression" priority="13" dxfId="16" stopIfTrue="1">
      <formula>OR($F78&gt;RP,$F78=0)</formula>
    </cfRule>
  </conditionalFormatting>
  <conditionalFormatting sqref="AB79">
    <cfRule type="expression" priority="12" dxfId="16" stopIfTrue="1">
      <formula>RP&lt;1996</formula>
    </cfRule>
  </conditionalFormatting>
  <conditionalFormatting sqref="AB79">
    <cfRule type="expression" priority="11" dxfId="16" stopIfTrue="1">
      <formula>OR($F79&gt;RP,$F79=0)</formula>
    </cfRule>
  </conditionalFormatting>
  <conditionalFormatting sqref="AB80">
    <cfRule type="expression" priority="10" dxfId="16" stopIfTrue="1">
      <formula>RP&lt;1996</formula>
    </cfRule>
  </conditionalFormatting>
  <conditionalFormatting sqref="AB80">
    <cfRule type="expression" priority="9" dxfId="16" stopIfTrue="1">
      <formula>OR($F80&gt;RP,$F80=0)</formula>
    </cfRule>
  </conditionalFormatting>
  <conditionalFormatting sqref="AB81">
    <cfRule type="expression" priority="8" dxfId="16" stopIfTrue="1">
      <formula>RP&lt;1996</formula>
    </cfRule>
  </conditionalFormatting>
  <conditionalFormatting sqref="AB81">
    <cfRule type="expression" priority="7" dxfId="16" stopIfTrue="1">
      <formula>OR($F81&gt;RP,$F81=0)</formula>
    </cfRule>
  </conditionalFormatting>
  <conditionalFormatting sqref="AB82">
    <cfRule type="expression" priority="6" dxfId="16" stopIfTrue="1">
      <formula>RP&lt;1996</formula>
    </cfRule>
  </conditionalFormatting>
  <conditionalFormatting sqref="AB82">
    <cfRule type="expression" priority="5" dxfId="16" stopIfTrue="1">
      <formula>OR($F82&gt;RP,$F82=0)</formula>
    </cfRule>
  </conditionalFormatting>
  <conditionalFormatting sqref="AB83">
    <cfRule type="expression" priority="4" dxfId="16" stopIfTrue="1">
      <formula>RP&lt;1996</formula>
    </cfRule>
  </conditionalFormatting>
  <conditionalFormatting sqref="AB83">
    <cfRule type="expression" priority="3" dxfId="16" stopIfTrue="1">
      <formula>OR($F83&gt;RP,$F83=0)</formula>
    </cfRule>
  </conditionalFormatting>
  <conditionalFormatting sqref="AB84">
    <cfRule type="expression" priority="2" dxfId="16" stopIfTrue="1">
      <formula>RP&lt;1996</formula>
    </cfRule>
  </conditionalFormatting>
  <conditionalFormatting sqref="AB84">
    <cfRule type="expression" priority="1" dxfId="16" stopIfTrue="1">
      <formula>OR($F84&gt;RP,$F84=0)</formula>
    </cfRule>
  </conditionalFormatting>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ČSSZ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zuzik</dc:creator>
  <cp:keywords/>
  <dc:description/>
  <cp:lastModifiedBy>Honza</cp:lastModifiedBy>
  <cp:lastPrinted>2023-04-25T09:10:41Z</cp:lastPrinted>
  <dcterms:created xsi:type="dcterms:W3CDTF">2015-06-24T08:28:25Z</dcterms:created>
  <dcterms:modified xsi:type="dcterms:W3CDTF">2023-11-22T09:39:23Z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